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2"/>
  </bookViews>
  <sheets>
    <sheet name="Soupis prací" sheetId="1" r:id="rId1"/>
    <sheet name="rekapitulace" sheetId="2" r:id="rId2"/>
    <sheet name="Krycí list " sheetId="3" r:id="rId3"/>
  </sheets>
  <definedNames>
    <definedName name="_xlnm.Print_Titles" localSheetId="0">'Soupis prací'!$10:$11</definedName>
  </definedNames>
  <calcPr calcId="125725" fullCalcOnLoad="1"/>
</workbook>
</file>

<file path=xl/calcChain.xml><?xml version="1.0" encoding="utf-8"?>
<calcChain xmlns="http://schemas.openxmlformats.org/spreadsheetml/2006/main">
  <c r="C2" i="3"/>
  <c r="F2"/>
  <c r="C4"/>
  <c r="F4"/>
  <c r="C6"/>
  <c r="F6"/>
  <c r="C8"/>
  <c r="F8"/>
  <c r="C10"/>
  <c r="F10"/>
  <c r="I10"/>
  <c r="F22"/>
  <c r="I22"/>
  <c r="L12" i="1"/>
  <c r="J13"/>
  <c r="L13"/>
  <c r="Z13"/>
  <c r="AB13"/>
  <c r="AC13"/>
  <c r="AF13"/>
  <c r="AG13"/>
  <c r="AH13"/>
  <c r="AJ13"/>
  <c r="AK13"/>
  <c r="AL13"/>
  <c r="AO13"/>
  <c r="H13"/>
  <c r="AP13"/>
  <c r="BI13"/>
  <c r="AE13"/>
  <c r="BD13"/>
  <c r="BF13"/>
  <c r="BJ13"/>
  <c r="H15"/>
  <c r="I15"/>
  <c r="J15"/>
  <c r="L15"/>
  <c r="Z15"/>
  <c r="AB15"/>
  <c r="AC15"/>
  <c r="AD15"/>
  <c r="AF15"/>
  <c r="AG15"/>
  <c r="AH15"/>
  <c r="AJ15"/>
  <c r="AK15"/>
  <c r="AL15"/>
  <c r="AO15"/>
  <c r="AP15"/>
  <c r="AW15"/>
  <c r="AV15"/>
  <c r="AX15"/>
  <c r="BD15"/>
  <c r="BF15"/>
  <c r="BH15"/>
  <c r="BI15"/>
  <c r="AE15"/>
  <c r="BJ15"/>
  <c r="H17"/>
  <c r="J17"/>
  <c r="L17"/>
  <c r="Z17"/>
  <c r="AB17"/>
  <c r="AC17"/>
  <c r="AF17"/>
  <c r="AG17"/>
  <c r="AH17"/>
  <c r="AJ17"/>
  <c r="AK17"/>
  <c r="AL17"/>
  <c r="AO17"/>
  <c r="AP17"/>
  <c r="I17"/>
  <c r="AW17"/>
  <c r="BD17"/>
  <c r="BF17"/>
  <c r="BH17"/>
  <c r="AD17"/>
  <c r="BJ17"/>
  <c r="H19"/>
  <c r="I19"/>
  <c r="J19"/>
  <c r="L19"/>
  <c r="Z19"/>
  <c r="AB19"/>
  <c r="AC19"/>
  <c r="AD19"/>
  <c r="AF19"/>
  <c r="AG19"/>
  <c r="AH19"/>
  <c r="AJ19"/>
  <c r="AK19"/>
  <c r="AL19"/>
  <c r="AO19"/>
  <c r="AP19"/>
  <c r="BI19"/>
  <c r="AE19"/>
  <c r="AW19"/>
  <c r="AV19"/>
  <c r="AX19"/>
  <c r="BC19"/>
  <c r="BD19"/>
  <c r="BF19"/>
  <c r="BH19"/>
  <c r="BJ19"/>
  <c r="J21"/>
  <c r="L21"/>
  <c r="Z21"/>
  <c r="AB21"/>
  <c r="AC21"/>
  <c r="AE21"/>
  <c r="AF21"/>
  <c r="AG21"/>
  <c r="AH21"/>
  <c r="AJ21"/>
  <c r="AK21"/>
  <c r="AL21"/>
  <c r="AO21"/>
  <c r="BH21"/>
  <c r="AD21"/>
  <c r="AP21"/>
  <c r="I21"/>
  <c r="BD21"/>
  <c r="BF21"/>
  <c r="BI21"/>
  <c r="BJ21"/>
  <c r="H23"/>
  <c r="J23"/>
  <c r="L23"/>
  <c r="Z23"/>
  <c r="AB23"/>
  <c r="AC23"/>
  <c r="AF23"/>
  <c r="AG23"/>
  <c r="AH23"/>
  <c r="AJ23"/>
  <c r="AK23"/>
  <c r="AL23"/>
  <c r="AO23"/>
  <c r="AP23"/>
  <c r="I23"/>
  <c r="AW23"/>
  <c r="BD23"/>
  <c r="BF23"/>
  <c r="BH23"/>
  <c r="AD23"/>
  <c r="BI23"/>
  <c r="AE23"/>
  <c r="BJ23"/>
  <c r="J25"/>
  <c r="L25"/>
  <c r="Z25"/>
  <c r="AB25"/>
  <c r="AC25"/>
  <c r="AF25"/>
  <c r="AG25"/>
  <c r="AH25"/>
  <c r="AJ25"/>
  <c r="AK25"/>
  <c r="AL25"/>
  <c r="AO25"/>
  <c r="H25"/>
  <c r="AP25"/>
  <c r="BI25"/>
  <c r="AE25"/>
  <c r="BD25"/>
  <c r="BF25"/>
  <c r="BJ25"/>
  <c r="H27"/>
  <c r="J27"/>
  <c r="L27"/>
  <c r="Z27"/>
  <c r="AB27"/>
  <c r="AC27"/>
  <c r="AF27"/>
  <c r="AG27"/>
  <c r="AH27"/>
  <c r="AJ27"/>
  <c r="AK27"/>
  <c r="AL27"/>
  <c r="AO27"/>
  <c r="BH27"/>
  <c r="AD27"/>
  <c r="AP27"/>
  <c r="BI27"/>
  <c r="AE27"/>
  <c r="AW27"/>
  <c r="BD27"/>
  <c r="BF27"/>
  <c r="BJ27"/>
  <c r="J29"/>
  <c r="L29"/>
  <c r="Z29"/>
  <c r="AB29"/>
  <c r="AC29"/>
  <c r="AF29"/>
  <c r="AG29"/>
  <c r="AH29"/>
  <c r="AJ29"/>
  <c r="AK29"/>
  <c r="AL29"/>
  <c r="AO29"/>
  <c r="H29"/>
  <c r="AP29"/>
  <c r="BI29"/>
  <c r="AE29"/>
  <c r="AW29"/>
  <c r="BD29"/>
  <c r="BF29"/>
  <c r="BH29"/>
  <c r="AD29"/>
  <c r="BJ29"/>
  <c r="H31"/>
  <c r="J31"/>
  <c r="L31"/>
  <c r="Z31"/>
  <c r="AB31"/>
  <c r="AC31"/>
  <c r="AF31"/>
  <c r="AG31"/>
  <c r="AH31"/>
  <c r="AJ31"/>
  <c r="AK31"/>
  <c r="AL31"/>
  <c r="AO31"/>
  <c r="AP31"/>
  <c r="I31"/>
  <c r="AW31"/>
  <c r="BD31"/>
  <c r="BF31"/>
  <c r="BH31"/>
  <c r="AD31"/>
  <c r="BI31"/>
  <c r="AE31"/>
  <c r="BJ31"/>
  <c r="J33"/>
  <c r="L33"/>
  <c r="Z33"/>
  <c r="AB33"/>
  <c r="AC33"/>
  <c r="AF33"/>
  <c r="AG33"/>
  <c r="AH33"/>
  <c r="AJ33"/>
  <c r="AK33"/>
  <c r="AL33"/>
  <c r="AO33"/>
  <c r="H33"/>
  <c r="AP33"/>
  <c r="BI33"/>
  <c r="AE33"/>
  <c r="BD33"/>
  <c r="BF33"/>
  <c r="BJ33"/>
  <c r="J35"/>
  <c r="L35"/>
  <c r="Z35"/>
  <c r="AB35"/>
  <c r="AC35"/>
  <c r="AF35"/>
  <c r="AG35"/>
  <c r="AH35"/>
  <c r="AJ35"/>
  <c r="AK35"/>
  <c r="AL35"/>
  <c r="AO35"/>
  <c r="BH35"/>
  <c r="AD35"/>
  <c r="AP35"/>
  <c r="BI35"/>
  <c r="AE35"/>
  <c r="BD35"/>
  <c r="BF35"/>
  <c r="BJ35"/>
  <c r="H37"/>
  <c r="J37"/>
  <c r="L37"/>
  <c r="Z37"/>
  <c r="AB37"/>
  <c r="AC37"/>
  <c r="AF37"/>
  <c r="AG37"/>
  <c r="AH37"/>
  <c r="AJ37"/>
  <c r="AK37"/>
  <c r="AL37"/>
  <c r="AO37"/>
  <c r="AP37"/>
  <c r="I37"/>
  <c r="AW37"/>
  <c r="BD37"/>
  <c r="BF37"/>
  <c r="BH37"/>
  <c r="AD37"/>
  <c r="BI37"/>
  <c r="AE37"/>
  <c r="BJ37"/>
  <c r="H39"/>
  <c r="J39"/>
  <c r="L39"/>
  <c r="Z39"/>
  <c r="AB39"/>
  <c r="AC39"/>
  <c r="AF39"/>
  <c r="AG39"/>
  <c r="AH39"/>
  <c r="AJ39"/>
  <c r="AK39"/>
  <c r="AL39"/>
  <c r="AO39"/>
  <c r="AP39"/>
  <c r="I39"/>
  <c r="AW39"/>
  <c r="BD39"/>
  <c r="BF39"/>
  <c r="BH39"/>
  <c r="AD39"/>
  <c r="BI39"/>
  <c r="AE39"/>
  <c r="BJ39"/>
  <c r="J41"/>
  <c r="L41"/>
  <c r="Z41"/>
  <c r="AB41"/>
  <c r="AC41"/>
  <c r="AF41"/>
  <c r="AG41"/>
  <c r="AH41"/>
  <c r="AJ41"/>
  <c r="AK41"/>
  <c r="AL41"/>
  <c r="AO41"/>
  <c r="H41"/>
  <c r="AP41"/>
  <c r="BI41"/>
  <c r="AE41"/>
  <c r="BD41"/>
  <c r="BF41"/>
  <c r="BJ41"/>
  <c r="J43"/>
  <c r="L43"/>
  <c r="Z43"/>
  <c r="AB43"/>
  <c r="AC43"/>
  <c r="AF43"/>
  <c r="AG43"/>
  <c r="AH43"/>
  <c r="AJ43"/>
  <c r="AK43"/>
  <c r="AL43"/>
  <c r="AO43"/>
  <c r="BH43"/>
  <c r="AD43"/>
  <c r="AP43"/>
  <c r="I43"/>
  <c r="AW43"/>
  <c r="BD43"/>
  <c r="BF43"/>
  <c r="BI43"/>
  <c r="AE43"/>
  <c r="BJ43"/>
  <c r="J45"/>
  <c r="L45"/>
  <c r="Z45"/>
  <c r="AB45"/>
  <c r="AC45"/>
  <c r="AF45"/>
  <c r="AG45"/>
  <c r="AH45"/>
  <c r="AJ45"/>
  <c r="AK45"/>
  <c r="AL45"/>
  <c r="AO45"/>
  <c r="H45"/>
  <c r="AP45"/>
  <c r="BI45"/>
  <c r="AE45"/>
  <c r="BD45"/>
  <c r="BF45"/>
  <c r="BH45"/>
  <c r="AD45"/>
  <c r="BJ45"/>
  <c r="H47"/>
  <c r="J47"/>
  <c r="L47"/>
  <c r="Z47"/>
  <c r="AB47"/>
  <c r="AC47"/>
  <c r="AF47"/>
  <c r="AG47"/>
  <c r="AH47"/>
  <c r="AJ47"/>
  <c r="AK47"/>
  <c r="AL47"/>
  <c r="AO47"/>
  <c r="AP47"/>
  <c r="I47"/>
  <c r="AV47"/>
  <c r="AW47"/>
  <c r="BC47"/>
  <c r="AX47"/>
  <c r="BD47"/>
  <c r="BF47"/>
  <c r="BH47"/>
  <c r="AD47"/>
  <c r="BI47"/>
  <c r="AE47"/>
  <c r="BJ47"/>
  <c r="H49"/>
  <c r="J49"/>
  <c r="L49"/>
  <c r="Z49"/>
  <c r="AB49"/>
  <c r="AC49"/>
  <c r="AF49"/>
  <c r="AG49"/>
  <c r="AH49"/>
  <c r="AJ49"/>
  <c r="AK49"/>
  <c r="AL49"/>
  <c r="AO49"/>
  <c r="AP49"/>
  <c r="I49"/>
  <c r="AW49"/>
  <c r="BC49"/>
  <c r="AX49"/>
  <c r="BD49"/>
  <c r="BF49"/>
  <c r="BH49"/>
  <c r="AD49"/>
  <c r="BI49"/>
  <c r="AE49"/>
  <c r="BJ49"/>
  <c r="J52"/>
  <c r="L52"/>
  <c r="Z52"/>
  <c r="AB52"/>
  <c r="AC52"/>
  <c r="AF52"/>
  <c r="AG52"/>
  <c r="AH52"/>
  <c r="AJ52"/>
  <c r="AK52"/>
  <c r="AL52"/>
  <c r="AO52"/>
  <c r="H52"/>
  <c r="AP52"/>
  <c r="I52"/>
  <c r="AW52"/>
  <c r="BD52"/>
  <c r="BF52"/>
  <c r="BH52"/>
  <c r="AD52"/>
  <c r="BI52"/>
  <c r="AE52"/>
  <c r="BJ52"/>
  <c r="I54"/>
  <c r="J54"/>
  <c r="L54"/>
  <c r="Z54"/>
  <c r="AB54"/>
  <c r="AC54"/>
  <c r="AF54"/>
  <c r="AG54"/>
  <c r="AH54"/>
  <c r="AJ54"/>
  <c r="AK54"/>
  <c r="AL54"/>
  <c r="AO54"/>
  <c r="BH54"/>
  <c r="AD54"/>
  <c r="AP54"/>
  <c r="BI54"/>
  <c r="AE54"/>
  <c r="AX54"/>
  <c r="BD54"/>
  <c r="BF54"/>
  <c r="BJ54"/>
  <c r="J56"/>
  <c r="L56"/>
  <c r="Z56"/>
  <c r="AB56"/>
  <c r="AC56"/>
  <c r="AE56"/>
  <c r="AF56"/>
  <c r="AG56"/>
  <c r="AH56"/>
  <c r="AJ56"/>
  <c r="AK56"/>
  <c r="AL56"/>
  <c r="AO56"/>
  <c r="BH56"/>
  <c r="AD56"/>
  <c r="AP56"/>
  <c r="I56"/>
  <c r="BD56"/>
  <c r="BF56"/>
  <c r="BI56"/>
  <c r="BJ56"/>
  <c r="J58"/>
  <c r="L58"/>
  <c r="Z58"/>
  <c r="AB58"/>
  <c r="AC58"/>
  <c r="AF58"/>
  <c r="AG58"/>
  <c r="AH58"/>
  <c r="AJ58"/>
  <c r="AK58"/>
  <c r="AL58"/>
  <c r="AO58"/>
  <c r="H58"/>
  <c r="AP58"/>
  <c r="BI58"/>
  <c r="AE58"/>
  <c r="BD58"/>
  <c r="BF58"/>
  <c r="BH58"/>
  <c r="AD58"/>
  <c r="BJ58"/>
  <c r="J60"/>
  <c r="L60"/>
  <c r="Z60"/>
  <c r="AB60"/>
  <c r="AC60"/>
  <c r="AF60"/>
  <c r="AG60"/>
  <c r="AH60"/>
  <c r="AJ60"/>
  <c r="AK60"/>
  <c r="AL60"/>
  <c r="AO60"/>
  <c r="BH60"/>
  <c r="AD60"/>
  <c r="AP60"/>
  <c r="BI60"/>
  <c r="AE60"/>
  <c r="BD60"/>
  <c r="BF60"/>
  <c r="BJ60"/>
  <c r="H62"/>
  <c r="J62"/>
  <c r="L62"/>
  <c r="Z62"/>
  <c r="AB62"/>
  <c r="AC62"/>
  <c r="AF62"/>
  <c r="AG62"/>
  <c r="AH62"/>
  <c r="AJ62"/>
  <c r="AK62"/>
  <c r="AL62"/>
  <c r="AO62"/>
  <c r="AP62"/>
  <c r="I62"/>
  <c r="AW62"/>
  <c r="BD62"/>
  <c r="BF62"/>
  <c r="BH62"/>
  <c r="AD62"/>
  <c r="BI62"/>
  <c r="AE62"/>
  <c r="BJ62"/>
  <c r="H65"/>
  <c r="J65"/>
  <c r="L65"/>
  <c r="Z65"/>
  <c r="AB65"/>
  <c r="AC65"/>
  <c r="AF65"/>
  <c r="AG65"/>
  <c r="AH65"/>
  <c r="AJ65"/>
  <c r="AK65"/>
  <c r="AL65"/>
  <c r="AO65"/>
  <c r="AP65"/>
  <c r="I65"/>
  <c r="AW65"/>
  <c r="BC65"/>
  <c r="AX65"/>
  <c r="BD65"/>
  <c r="BF65"/>
  <c r="BH65"/>
  <c r="AD65"/>
  <c r="BI65"/>
  <c r="AE65"/>
  <c r="BJ65"/>
  <c r="I68"/>
  <c r="J68"/>
  <c r="L68"/>
  <c r="Z68"/>
  <c r="AB68"/>
  <c r="AC68"/>
  <c r="AE68"/>
  <c r="AF68"/>
  <c r="AG68"/>
  <c r="AH68"/>
  <c r="AJ68"/>
  <c r="AK68"/>
  <c r="AL68"/>
  <c r="AO68"/>
  <c r="BH68"/>
  <c r="AD68"/>
  <c r="AP68"/>
  <c r="AX68"/>
  <c r="BD68"/>
  <c r="BF68"/>
  <c r="BI68"/>
  <c r="BJ68"/>
  <c r="J70"/>
  <c r="L70"/>
  <c r="Z70"/>
  <c r="AB70"/>
  <c r="AC70"/>
  <c r="AF70"/>
  <c r="AG70"/>
  <c r="AH70"/>
  <c r="AJ70"/>
  <c r="AK70"/>
  <c r="AL70"/>
  <c r="AO70"/>
  <c r="BH70"/>
  <c r="AD70"/>
  <c r="AP70"/>
  <c r="BI70"/>
  <c r="AE70"/>
  <c r="BD70"/>
  <c r="BF70"/>
  <c r="BJ70"/>
  <c r="J72"/>
  <c r="L72"/>
  <c r="Z72"/>
  <c r="AB72"/>
  <c r="AC72"/>
  <c r="AF72"/>
  <c r="AG72"/>
  <c r="AH72"/>
  <c r="AJ72"/>
  <c r="AK72"/>
  <c r="AL72"/>
  <c r="AO72"/>
  <c r="BH72"/>
  <c r="AD72"/>
  <c r="AP72"/>
  <c r="BI72"/>
  <c r="AE72"/>
  <c r="BD72"/>
  <c r="BF72"/>
  <c r="BJ72"/>
  <c r="J75"/>
  <c r="L75"/>
  <c r="Z75"/>
  <c r="AB75"/>
  <c r="AC75"/>
  <c r="AF75"/>
  <c r="AG75"/>
  <c r="AH75"/>
  <c r="AJ75"/>
  <c r="AK75"/>
  <c r="AL75"/>
  <c r="AO75"/>
  <c r="H75"/>
  <c r="AP75"/>
  <c r="I75"/>
  <c r="BD75"/>
  <c r="BF75"/>
  <c r="BH75"/>
  <c r="AD75"/>
  <c r="BJ75"/>
  <c r="J77"/>
  <c r="L77"/>
  <c r="Z77"/>
  <c r="AB77"/>
  <c r="AC77"/>
  <c r="AF77"/>
  <c r="AG77"/>
  <c r="AH77"/>
  <c r="AJ77"/>
  <c r="AK77"/>
  <c r="AL77"/>
  <c r="AO77"/>
  <c r="BH77"/>
  <c r="AD77"/>
  <c r="AP77"/>
  <c r="BI77"/>
  <c r="AE77"/>
  <c r="BD77"/>
  <c r="BF77"/>
  <c r="BJ77"/>
  <c r="H79"/>
  <c r="J79"/>
  <c r="L79"/>
  <c r="Z79"/>
  <c r="AB79"/>
  <c r="AC79"/>
  <c r="AD79"/>
  <c r="AE79"/>
  <c r="AF79"/>
  <c r="AG79"/>
  <c r="AH79"/>
  <c r="AJ79"/>
  <c r="AK79"/>
  <c r="AL79"/>
  <c r="AO79"/>
  <c r="AP79"/>
  <c r="I79"/>
  <c r="AW79"/>
  <c r="BD79"/>
  <c r="BF79"/>
  <c r="BH79"/>
  <c r="BI79"/>
  <c r="BJ79"/>
  <c r="L81"/>
  <c r="J82"/>
  <c r="L82"/>
  <c r="Z82"/>
  <c r="AB82"/>
  <c r="AC82"/>
  <c r="AF82"/>
  <c r="AG82"/>
  <c r="AH82"/>
  <c r="AJ82"/>
  <c r="AK82"/>
  <c r="AL82"/>
  <c r="AO82"/>
  <c r="BH82"/>
  <c r="AD82"/>
  <c r="AP82"/>
  <c r="I82"/>
  <c r="BD82"/>
  <c r="BF82"/>
  <c r="BI82"/>
  <c r="AE82"/>
  <c r="BJ82"/>
  <c r="I84"/>
  <c r="J84"/>
  <c r="L84"/>
  <c r="Z84"/>
  <c r="AB84"/>
  <c r="AC84"/>
  <c r="AF84"/>
  <c r="AG84"/>
  <c r="AH84"/>
  <c r="AJ84"/>
  <c r="AK84"/>
  <c r="AL84"/>
  <c r="AO84"/>
  <c r="BH84"/>
  <c r="AD84"/>
  <c r="AP84"/>
  <c r="BI84"/>
  <c r="AE84"/>
  <c r="AX84"/>
  <c r="BD84"/>
  <c r="BF84"/>
  <c r="BJ84"/>
  <c r="H86"/>
  <c r="I86"/>
  <c r="J86"/>
  <c r="L86"/>
  <c r="Z86"/>
  <c r="AB86"/>
  <c r="AC86"/>
  <c r="AE86"/>
  <c r="AF86"/>
  <c r="AG86"/>
  <c r="AH86"/>
  <c r="AJ86"/>
  <c r="AK86"/>
  <c r="AL86"/>
  <c r="AO86"/>
  <c r="BH86"/>
  <c r="AD86"/>
  <c r="AP86"/>
  <c r="AW86"/>
  <c r="AV86"/>
  <c r="AX86"/>
  <c r="BC86"/>
  <c r="BD86"/>
  <c r="BF86"/>
  <c r="BI86"/>
  <c r="BJ86"/>
  <c r="H88"/>
  <c r="J88"/>
  <c r="L88"/>
  <c r="Z88"/>
  <c r="AB88"/>
  <c r="AC88"/>
  <c r="AF88"/>
  <c r="AG88"/>
  <c r="AH88"/>
  <c r="AJ88"/>
  <c r="AK88"/>
  <c r="AL88"/>
  <c r="AO88"/>
  <c r="AP88"/>
  <c r="I88"/>
  <c r="AW88"/>
  <c r="BD88"/>
  <c r="BF88"/>
  <c r="BH88"/>
  <c r="AD88"/>
  <c r="BI88"/>
  <c r="AE88"/>
  <c r="BJ88"/>
  <c r="J90"/>
  <c r="L90"/>
  <c r="Z90"/>
  <c r="AB90"/>
  <c r="AC90"/>
  <c r="AF90"/>
  <c r="AG90"/>
  <c r="AH90"/>
  <c r="AJ90"/>
  <c r="AK90"/>
  <c r="AL90"/>
  <c r="AO90"/>
  <c r="H90"/>
  <c r="AP90"/>
  <c r="BI90"/>
  <c r="AE90"/>
  <c r="AX90"/>
  <c r="BD90"/>
  <c r="BF90"/>
  <c r="BJ90"/>
  <c r="J92"/>
  <c r="L92"/>
  <c r="Z92"/>
  <c r="AB92"/>
  <c r="AC92"/>
  <c r="AF92"/>
  <c r="AG92"/>
  <c r="AH92"/>
  <c r="AJ92"/>
  <c r="AK92"/>
  <c r="AL92"/>
  <c r="AO92"/>
  <c r="H92"/>
  <c r="AP92"/>
  <c r="I92"/>
  <c r="BD92"/>
  <c r="BF92"/>
  <c r="BH92"/>
  <c r="AD92"/>
  <c r="BJ92"/>
  <c r="H94"/>
  <c r="J94"/>
  <c r="L94"/>
  <c r="Z94"/>
  <c r="AB94"/>
  <c r="AC94"/>
  <c r="AF94"/>
  <c r="AG94"/>
  <c r="AH94"/>
  <c r="AJ94"/>
  <c r="AK94"/>
  <c r="AL94"/>
  <c r="AO94"/>
  <c r="AP94"/>
  <c r="I94"/>
  <c r="AW94"/>
  <c r="BD94"/>
  <c r="BF94"/>
  <c r="BH94"/>
  <c r="AD94"/>
  <c r="BI94"/>
  <c r="AE94"/>
  <c r="BJ94"/>
  <c r="J96"/>
  <c r="L96"/>
  <c r="Z96"/>
  <c r="AB96"/>
  <c r="AC96"/>
  <c r="AF96"/>
  <c r="AG96"/>
  <c r="AH96"/>
  <c r="AJ96"/>
  <c r="AK96"/>
  <c r="AL96"/>
  <c r="AO96"/>
  <c r="H96"/>
  <c r="AP96"/>
  <c r="BI96"/>
  <c r="AE96"/>
  <c r="BD96"/>
  <c r="BF96"/>
  <c r="BJ96"/>
  <c r="H98"/>
  <c r="J98"/>
  <c r="L98"/>
  <c r="Z98"/>
  <c r="AB98"/>
  <c r="AC98"/>
  <c r="AF98"/>
  <c r="AG98"/>
  <c r="AH98"/>
  <c r="AJ98"/>
  <c r="AK98"/>
  <c r="AL98"/>
  <c r="AO98"/>
  <c r="AP98"/>
  <c r="I98"/>
  <c r="AW98"/>
  <c r="BD98"/>
  <c r="BF98"/>
  <c r="BH98"/>
  <c r="AD98"/>
  <c r="BI98"/>
  <c r="AE98"/>
  <c r="BJ98"/>
  <c r="J100"/>
  <c r="L100"/>
  <c r="Z100"/>
  <c r="AB100"/>
  <c r="AC100"/>
  <c r="AD100"/>
  <c r="AF100"/>
  <c r="AG100"/>
  <c r="AH100"/>
  <c r="AJ100"/>
  <c r="AK100"/>
  <c r="AL100"/>
  <c r="AO100"/>
  <c r="H100"/>
  <c r="AP100"/>
  <c r="BI100"/>
  <c r="AE100"/>
  <c r="AW100"/>
  <c r="BD100"/>
  <c r="BF100"/>
  <c r="BH100"/>
  <c r="BJ100"/>
  <c r="I103"/>
  <c r="J103"/>
  <c r="L103"/>
  <c r="Z103"/>
  <c r="AB103"/>
  <c r="AC103"/>
  <c r="AE103"/>
  <c r="AF103"/>
  <c r="AG103"/>
  <c r="AH103"/>
  <c r="AJ103"/>
  <c r="AK103"/>
  <c r="AL103"/>
  <c r="AO103"/>
  <c r="BH103"/>
  <c r="AD103"/>
  <c r="AP103"/>
  <c r="AX103"/>
  <c r="BD103"/>
  <c r="BF103"/>
  <c r="BI103"/>
  <c r="BJ103"/>
  <c r="H106"/>
  <c r="J106"/>
  <c r="L106"/>
  <c r="Z106"/>
  <c r="AB106"/>
  <c r="AC106"/>
  <c r="AF106"/>
  <c r="AG106"/>
  <c r="AH106"/>
  <c r="AJ106"/>
  <c r="AK106"/>
  <c r="AL106"/>
  <c r="AO106"/>
  <c r="AP106"/>
  <c r="BI106"/>
  <c r="AE106"/>
  <c r="AW106"/>
  <c r="BD106"/>
  <c r="BF106"/>
  <c r="BH106"/>
  <c r="AD106"/>
  <c r="BJ106"/>
  <c r="H109"/>
  <c r="J109"/>
  <c r="L109"/>
  <c r="Z109"/>
  <c r="AB109"/>
  <c r="AC109"/>
  <c r="AF109"/>
  <c r="AG109"/>
  <c r="AH109"/>
  <c r="AJ109"/>
  <c r="AK109"/>
  <c r="AL109"/>
  <c r="AO109"/>
  <c r="AP109"/>
  <c r="I109"/>
  <c r="AW109"/>
  <c r="BD109"/>
  <c r="BF109"/>
  <c r="BH109"/>
  <c r="AD109"/>
  <c r="BI109"/>
  <c r="AE109"/>
  <c r="BJ109"/>
  <c r="J112"/>
  <c r="L112"/>
  <c r="Z112"/>
  <c r="AB112"/>
  <c r="AC112"/>
  <c r="AF112"/>
  <c r="AG112"/>
  <c r="AH112"/>
  <c r="AJ112"/>
  <c r="AK112"/>
  <c r="AL112"/>
  <c r="AO112"/>
  <c r="H112"/>
  <c r="AP112"/>
  <c r="BI112"/>
  <c r="AE112"/>
  <c r="BD112"/>
  <c r="BF112"/>
  <c r="BJ112"/>
  <c r="H115"/>
  <c r="J115"/>
  <c r="L115"/>
  <c r="Z115"/>
  <c r="AB115"/>
  <c r="AC115"/>
  <c r="AF115"/>
  <c r="AG115"/>
  <c r="AH115"/>
  <c r="AJ115"/>
  <c r="AK115"/>
  <c r="AL115"/>
  <c r="AO115"/>
  <c r="AP115"/>
  <c r="I115"/>
  <c r="AW115"/>
  <c r="BD115"/>
  <c r="BF115"/>
  <c r="BH115"/>
  <c r="AD115"/>
  <c r="BI115"/>
  <c r="AE115"/>
  <c r="BJ115"/>
  <c r="J118"/>
  <c r="L118"/>
  <c r="Z118"/>
  <c r="AB118"/>
  <c r="AC118"/>
  <c r="AF118"/>
  <c r="AG118"/>
  <c r="AH118"/>
  <c r="AJ118"/>
  <c r="AK118"/>
  <c r="AL118"/>
  <c r="AO118"/>
  <c r="H118"/>
  <c r="AP118"/>
  <c r="BI118"/>
  <c r="AE118"/>
  <c r="BD118"/>
  <c r="BF118"/>
  <c r="BJ118"/>
  <c r="H121"/>
  <c r="J121"/>
  <c r="L121"/>
  <c r="Z121"/>
  <c r="AB121"/>
  <c r="AC121"/>
  <c r="AF121"/>
  <c r="AG121"/>
  <c r="AH121"/>
  <c r="AJ121"/>
  <c r="AK121"/>
  <c r="AL121"/>
  <c r="AO121"/>
  <c r="BH121"/>
  <c r="AD121"/>
  <c r="AP121"/>
  <c r="I121"/>
  <c r="AW121"/>
  <c r="AV121"/>
  <c r="AX121"/>
  <c r="BD121"/>
  <c r="BF121"/>
  <c r="BI121"/>
  <c r="AE121"/>
  <c r="BJ121"/>
  <c r="I124"/>
  <c r="J124"/>
  <c r="L124"/>
  <c r="Z124"/>
  <c r="AB124"/>
  <c r="AC124"/>
  <c r="AE124"/>
  <c r="AF124"/>
  <c r="AG124"/>
  <c r="AH124"/>
  <c r="AJ124"/>
  <c r="AK124"/>
  <c r="AL124"/>
  <c r="AO124"/>
  <c r="H124"/>
  <c r="AP124"/>
  <c r="AX124"/>
  <c r="BD124"/>
  <c r="BF124"/>
  <c r="BI124"/>
  <c r="BJ124"/>
  <c r="H127"/>
  <c r="I127"/>
  <c r="J127"/>
  <c r="L127"/>
  <c r="Z127"/>
  <c r="AB127"/>
  <c r="AC127"/>
  <c r="AF127"/>
  <c r="AG127"/>
  <c r="AH127"/>
  <c r="AJ127"/>
  <c r="AK127"/>
  <c r="AL127"/>
  <c r="AO127"/>
  <c r="AP127"/>
  <c r="AW127"/>
  <c r="AV127"/>
  <c r="AX127"/>
  <c r="BD127"/>
  <c r="BF127"/>
  <c r="BH127"/>
  <c r="AD127"/>
  <c r="BI127"/>
  <c r="AE127"/>
  <c r="BJ127"/>
  <c r="J129"/>
  <c r="L129"/>
  <c r="Z129"/>
  <c r="AB129"/>
  <c r="AC129"/>
  <c r="AF129"/>
  <c r="AG129"/>
  <c r="AH129"/>
  <c r="AJ129"/>
  <c r="AK129"/>
  <c r="AL129"/>
  <c r="AO129"/>
  <c r="H129"/>
  <c r="AP129"/>
  <c r="I129"/>
  <c r="BD129"/>
  <c r="BF129"/>
  <c r="BJ129"/>
  <c r="H131"/>
  <c r="J131"/>
  <c r="L131"/>
  <c r="Z131"/>
  <c r="AB131"/>
  <c r="AC131"/>
  <c r="AF131"/>
  <c r="AG131"/>
  <c r="AH131"/>
  <c r="AJ131"/>
  <c r="AK131"/>
  <c r="AL131"/>
  <c r="AO131"/>
  <c r="AP131"/>
  <c r="I131"/>
  <c r="AW131"/>
  <c r="BC131"/>
  <c r="AX131"/>
  <c r="BD131"/>
  <c r="BF131"/>
  <c r="BH131"/>
  <c r="AD131"/>
  <c r="BI131"/>
  <c r="AE131"/>
  <c r="BJ131"/>
  <c r="J133"/>
  <c r="L133"/>
  <c r="Z133"/>
  <c r="AB133"/>
  <c r="AC133"/>
  <c r="AF133"/>
  <c r="AG133"/>
  <c r="AH133"/>
  <c r="AJ133"/>
  <c r="AK133"/>
  <c r="AL133"/>
  <c r="AO133"/>
  <c r="BH133"/>
  <c r="AD133"/>
  <c r="AP133"/>
  <c r="BI133"/>
  <c r="AE133"/>
  <c r="AX133"/>
  <c r="BD133"/>
  <c r="BF133"/>
  <c r="BJ133"/>
  <c r="H135"/>
  <c r="J135"/>
  <c r="L135"/>
  <c r="Z135"/>
  <c r="AB135"/>
  <c r="AC135"/>
  <c r="AD135"/>
  <c r="AF135"/>
  <c r="AG135"/>
  <c r="AH135"/>
  <c r="AJ135"/>
  <c r="AK135"/>
  <c r="AL135"/>
  <c r="AO135"/>
  <c r="AP135"/>
  <c r="BI135"/>
  <c r="AE135"/>
  <c r="AW135"/>
  <c r="BC135"/>
  <c r="AX135"/>
  <c r="BD135"/>
  <c r="BF135"/>
  <c r="BH135"/>
  <c r="BJ135"/>
  <c r="J138"/>
  <c r="L138"/>
  <c r="Z138"/>
  <c r="AB138"/>
  <c r="AC138"/>
  <c r="AD138"/>
  <c r="AF138"/>
  <c r="AG138"/>
  <c r="AH138"/>
  <c r="AJ138"/>
  <c r="AK138"/>
  <c r="AL138"/>
  <c r="AO138"/>
  <c r="H138"/>
  <c r="AP138"/>
  <c r="BI138"/>
  <c r="AE138"/>
  <c r="BD138"/>
  <c r="BF138"/>
  <c r="BH138"/>
  <c r="BJ138"/>
  <c r="H141"/>
  <c r="I141"/>
  <c r="J141"/>
  <c r="L141"/>
  <c r="Z141"/>
  <c r="AB141"/>
  <c r="AC141"/>
  <c r="AD141"/>
  <c r="AF141"/>
  <c r="AG141"/>
  <c r="AH141"/>
  <c r="AJ141"/>
  <c r="AK141"/>
  <c r="AL141"/>
  <c r="AO141"/>
  <c r="AP141"/>
  <c r="AW141"/>
  <c r="AV141"/>
  <c r="AX141"/>
  <c r="BD141"/>
  <c r="BF141"/>
  <c r="BH141"/>
  <c r="BI141"/>
  <c r="AE141"/>
  <c r="BJ141"/>
  <c r="H143"/>
  <c r="I143"/>
  <c r="J143"/>
  <c r="L143"/>
  <c r="Z143"/>
  <c r="AB143"/>
  <c r="AC143"/>
  <c r="AF143"/>
  <c r="AG143"/>
  <c r="AH143"/>
  <c r="AJ143"/>
  <c r="AK143"/>
  <c r="AL143"/>
  <c r="AO143"/>
  <c r="AP143"/>
  <c r="AW143"/>
  <c r="AV143"/>
  <c r="AX143"/>
  <c r="BD143"/>
  <c r="BF143"/>
  <c r="BH143"/>
  <c r="AD143"/>
  <c r="BI143"/>
  <c r="AE143"/>
  <c r="BJ143"/>
  <c r="H145"/>
  <c r="I145"/>
  <c r="J145"/>
  <c r="L145"/>
  <c r="Z145"/>
  <c r="AB145"/>
  <c r="AC145"/>
  <c r="AF145"/>
  <c r="AG145"/>
  <c r="AH145"/>
  <c r="AJ145"/>
  <c r="AK145"/>
  <c r="AL145"/>
  <c r="AO145"/>
  <c r="BH145"/>
  <c r="AD145"/>
  <c r="AP145"/>
  <c r="AW145"/>
  <c r="BC145"/>
  <c r="AX145"/>
  <c r="BD145"/>
  <c r="BF145"/>
  <c r="BI145"/>
  <c r="AE145"/>
  <c r="BJ145"/>
  <c r="J148"/>
  <c r="L148"/>
  <c r="Z148"/>
  <c r="AB148"/>
  <c r="AC148"/>
  <c r="AF148"/>
  <c r="AG148"/>
  <c r="AH148"/>
  <c r="AJ148"/>
  <c r="AK148"/>
  <c r="AL148"/>
  <c r="AO148"/>
  <c r="H148"/>
  <c r="AP148"/>
  <c r="BI148"/>
  <c r="AE148"/>
  <c r="BD148"/>
  <c r="BF148"/>
  <c r="BH148"/>
  <c r="AD148"/>
  <c r="BJ148"/>
  <c r="H150"/>
  <c r="I150"/>
  <c r="J150"/>
  <c r="L150"/>
  <c r="Z150"/>
  <c r="AB150"/>
  <c r="AC150"/>
  <c r="AD150"/>
  <c r="AF150"/>
  <c r="AG150"/>
  <c r="AH150"/>
  <c r="AJ150"/>
  <c r="AK150"/>
  <c r="AL150"/>
  <c r="AO150"/>
  <c r="AP150"/>
  <c r="AW150"/>
  <c r="AV150"/>
  <c r="AX150"/>
  <c r="BD150"/>
  <c r="BF150"/>
  <c r="BH150"/>
  <c r="BI150"/>
  <c r="AE150"/>
  <c r="BJ150"/>
  <c r="I152"/>
  <c r="J152"/>
  <c r="L152"/>
  <c r="Z152"/>
  <c r="AB152"/>
  <c r="AC152"/>
  <c r="AF152"/>
  <c r="AG152"/>
  <c r="AH152"/>
  <c r="AJ152"/>
  <c r="AK152"/>
  <c r="AL152"/>
  <c r="AO152"/>
  <c r="H152"/>
  <c r="AP152"/>
  <c r="AX152"/>
  <c r="BD152"/>
  <c r="BF152"/>
  <c r="BI152"/>
  <c r="AE152"/>
  <c r="BJ152"/>
  <c r="H154"/>
  <c r="I154"/>
  <c r="J154"/>
  <c r="L154"/>
  <c r="Z154"/>
  <c r="AB154"/>
  <c r="AC154"/>
  <c r="AD154"/>
  <c r="AE154"/>
  <c r="AF154"/>
  <c r="AG154"/>
  <c r="AH154"/>
  <c r="AJ154"/>
  <c r="AK154"/>
  <c r="AL154"/>
  <c r="AO154"/>
  <c r="AP154"/>
  <c r="AW154"/>
  <c r="AV154"/>
  <c r="AX154"/>
  <c r="BC154"/>
  <c r="BD154"/>
  <c r="BF154"/>
  <c r="BH154"/>
  <c r="BI154"/>
  <c r="BJ154"/>
  <c r="H156"/>
  <c r="J156"/>
  <c r="L156"/>
  <c r="Z156"/>
  <c r="AB156"/>
  <c r="AC156"/>
  <c r="AF156"/>
  <c r="AG156"/>
  <c r="AH156"/>
  <c r="AJ156"/>
  <c r="AK156"/>
  <c r="AL156"/>
  <c r="AO156"/>
  <c r="AP156"/>
  <c r="BI156"/>
  <c r="AE156"/>
  <c r="AW156"/>
  <c r="BD156"/>
  <c r="BF156"/>
  <c r="BH156"/>
  <c r="AD156"/>
  <c r="BJ156"/>
  <c r="J158"/>
  <c r="L158"/>
  <c r="Z158"/>
  <c r="AB158"/>
  <c r="AC158"/>
  <c r="AF158"/>
  <c r="AG158"/>
  <c r="AH158"/>
  <c r="AJ158"/>
  <c r="AK158"/>
  <c r="AL158"/>
  <c r="AO158"/>
  <c r="BH158"/>
  <c r="AD158"/>
  <c r="AP158"/>
  <c r="BI158"/>
  <c r="AE158"/>
  <c r="BD158"/>
  <c r="BF158"/>
  <c r="BJ158"/>
  <c r="H160"/>
  <c r="I160"/>
  <c r="J160"/>
  <c r="L160"/>
  <c r="Z160"/>
  <c r="AB160"/>
  <c r="AC160"/>
  <c r="AF160"/>
  <c r="AG160"/>
  <c r="AH160"/>
  <c r="AJ160"/>
  <c r="AK160"/>
  <c r="AL160"/>
  <c r="AO160"/>
  <c r="AP160"/>
  <c r="AV160"/>
  <c r="AW160"/>
  <c r="BC160"/>
  <c r="AX160"/>
  <c r="BD160"/>
  <c r="BF160"/>
  <c r="BH160"/>
  <c r="AD160"/>
  <c r="BI160"/>
  <c r="AE160"/>
  <c r="BJ160"/>
  <c r="J162"/>
  <c r="L162"/>
  <c r="Z162"/>
  <c r="AB162"/>
  <c r="AC162"/>
  <c r="AF162"/>
  <c r="AG162"/>
  <c r="AH162"/>
  <c r="AJ162"/>
  <c r="AK162"/>
  <c r="AL162"/>
  <c r="AO162"/>
  <c r="H162"/>
  <c r="AP162"/>
  <c r="I162"/>
  <c r="AW162"/>
  <c r="AV162"/>
  <c r="AX162"/>
  <c r="BD162"/>
  <c r="BF162"/>
  <c r="BH162"/>
  <c r="AD162"/>
  <c r="BI162"/>
  <c r="AE162"/>
  <c r="BJ162"/>
  <c r="H164"/>
  <c r="J164"/>
  <c r="L164"/>
  <c r="Z164"/>
  <c r="AB164"/>
  <c r="AC164"/>
  <c r="AF164"/>
  <c r="AG164"/>
  <c r="AH164"/>
  <c r="AJ164"/>
  <c r="AK164"/>
  <c r="AL164"/>
  <c r="AO164"/>
  <c r="AP164"/>
  <c r="I164"/>
  <c r="AW164"/>
  <c r="BC164"/>
  <c r="AX164"/>
  <c r="AV164"/>
  <c r="BD164"/>
  <c r="BF164"/>
  <c r="BH164"/>
  <c r="AD164"/>
  <c r="BI164"/>
  <c r="AE164"/>
  <c r="BJ164"/>
  <c r="J166"/>
  <c r="L166"/>
  <c r="Z166"/>
  <c r="AB166"/>
  <c r="AC166"/>
  <c r="AD166"/>
  <c r="AE166"/>
  <c r="AF166"/>
  <c r="AG166"/>
  <c r="AH166"/>
  <c r="AJ166"/>
  <c r="AK166"/>
  <c r="AL166"/>
  <c r="AO166"/>
  <c r="H166"/>
  <c r="AP166"/>
  <c r="AX166"/>
  <c r="BD166"/>
  <c r="BF166"/>
  <c r="BJ166"/>
  <c r="L168"/>
  <c r="J169"/>
  <c r="L169"/>
  <c r="Z169"/>
  <c r="AB169"/>
  <c r="AC169"/>
  <c r="AF169"/>
  <c r="AG169"/>
  <c r="AH169"/>
  <c r="AJ169"/>
  <c r="AK169"/>
  <c r="AL169"/>
  <c r="AO169"/>
  <c r="BH169"/>
  <c r="AD169"/>
  <c r="AP169"/>
  <c r="I169"/>
  <c r="AX169"/>
  <c r="BD169"/>
  <c r="BF169"/>
  <c r="BI169"/>
  <c r="AE169"/>
  <c r="BJ169"/>
  <c r="H171"/>
  <c r="I171"/>
  <c r="J171"/>
  <c r="L171"/>
  <c r="Z171"/>
  <c r="AB171"/>
  <c r="AC171"/>
  <c r="AD171"/>
  <c r="AE171"/>
  <c r="AF171"/>
  <c r="AG171"/>
  <c r="AH171"/>
  <c r="AJ171"/>
  <c r="AK171"/>
  <c r="AL171"/>
  <c r="AO171"/>
  <c r="AP171"/>
  <c r="AW171"/>
  <c r="AV171"/>
  <c r="AX171"/>
  <c r="BC171"/>
  <c r="BD171"/>
  <c r="BF171"/>
  <c r="BH171"/>
  <c r="BI171"/>
  <c r="BJ171"/>
  <c r="J174"/>
  <c r="L174"/>
  <c r="Z174"/>
  <c r="AB174"/>
  <c r="AC174"/>
  <c r="AE174"/>
  <c r="AF174"/>
  <c r="AG174"/>
  <c r="AH174"/>
  <c r="AJ174"/>
  <c r="AK174"/>
  <c r="AL174"/>
  <c r="AO174"/>
  <c r="BH174"/>
  <c r="AD174"/>
  <c r="AP174"/>
  <c r="I174"/>
  <c r="AX174"/>
  <c r="BD174"/>
  <c r="BF174"/>
  <c r="BI174"/>
  <c r="BJ174"/>
  <c r="I177"/>
  <c r="J177"/>
  <c r="L177"/>
  <c r="Z177"/>
  <c r="AB177"/>
  <c r="AC177"/>
  <c r="AD177"/>
  <c r="AF177"/>
  <c r="AG177"/>
  <c r="AH177"/>
  <c r="AJ177"/>
  <c r="AK177"/>
  <c r="AL177"/>
  <c r="AO177"/>
  <c r="H177"/>
  <c r="AP177"/>
  <c r="BI177"/>
  <c r="AE177"/>
  <c r="AV177"/>
  <c r="AW177"/>
  <c r="AX177"/>
  <c r="BC177"/>
  <c r="BD177"/>
  <c r="BF177"/>
  <c r="BH177"/>
  <c r="BJ177"/>
  <c r="I179"/>
  <c r="J179"/>
  <c r="L179"/>
  <c r="Z179"/>
  <c r="AB179"/>
  <c r="AC179"/>
  <c r="AF179"/>
  <c r="AG179"/>
  <c r="AH179"/>
  <c r="AJ179"/>
  <c r="AK179"/>
  <c r="AL179"/>
  <c r="AO179"/>
  <c r="BH179"/>
  <c r="AD179"/>
  <c r="AP179"/>
  <c r="BI179"/>
  <c r="AE179"/>
  <c r="AX179"/>
  <c r="BD179"/>
  <c r="BF179"/>
  <c r="BJ179"/>
  <c r="I181"/>
  <c r="J181"/>
  <c r="L181"/>
  <c r="Z181"/>
  <c r="AB181"/>
  <c r="AC181"/>
  <c r="AE181"/>
  <c r="AF181"/>
  <c r="AG181"/>
  <c r="AH181"/>
  <c r="AJ181"/>
  <c r="AK181"/>
  <c r="AL181"/>
  <c r="AO181"/>
  <c r="H181"/>
  <c r="AP181"/>
  <c r="AX181"/>
  <c r="BD181"/>
  <c r="BF181"/>
  <c r="BI181"/>
  <c r="BJ181"/>
  <c r="J183"/>
  <c r="L183"/>
  <c r="Z183"/>
  <c r="AB183"/>
  <c r="AC183"/>
  <c r="AF183"/>
  <c r="AG183"/>
  <c r="AH183"/>
  <c r="AJ183"/>
  <c r="AK183"/>
  <c r="AL183"/>
  <c r="AO183"/>
  <c r="BH183"/>
  <c r="AD183"/>
  <c r="AP183"/>
  <c r="BI183"/>
  <c r="AE183"/>
  <c r="BD183"/>
  <c r="BF183"/>
  <c r="BJ183"/>
  <c r="H185"/>
  <c r="I185"/>
  <c r="J185"/>
  <c r="L185"/>
  <c r="Z185"/>
  <c r="AB185"/>
  <c r="AC185"/>
  <c r="AD185"/>
  <c r="AF185"/>
  <c r="AG185"/>
  <c r="AH185"/>
  <c r="AJ185"/>
  <c r="AK185"/>
  <c r="AL185"/>
  <c r="AO185"/>
  <c r="AP185"/>
  <c r="AW185"/>
  <c r="AV185"/>
  <c r="AX185"/>
  <c r="BD185"/>
  <c r="BF185"/>
  <c r="BH185"/>
  <c r="BI185"/>
  <c r="AE185"/>
  <c r="BJ185"/>
  <c r="J188"/>
  <c r="L188"/>
  <c r="Z188"/>
  <c r="AB188"/>
  <c r="AC188"/>
  <c r="AF188"/>
  <c r="AG188"/>
  <c r="AH188"/>
  <c r="AJ188"/>
  <c r="AK188"/>
  <c r="AL188"/>
  <c r="AO188"/>
  <c r="H188"/>
  <c r="AP188"/>
  <c r="BI188"/>
  <c r="AE188"/>
  <c r="BD188"/>
  <c r="BF188"/>
  <c r="BJ188"/>
  <c r="H191"/>
  <c r="J191"/>
  <c r="L191"/>
  <c r="Z191"/>
  <c r="AB191"/>
  <c r="AC191"/>
  <c r="AF191"/>
  <c r="AG191"/>
  <c r="AH191"/>
  <c r="AJ191"/>
  <c r="AK191"/>
  <c r="AL191"/>
  <c r="AO191"/>
  <c r="AP191"/>
  <c r="I191"/>
  <c r="AW191"/>
  <c r="BD191"/>
  <c r="BF191"/>
  <c r="BH191"/>
  <c r="AD191"/>
  <c r="BI191"/>
  <c r="AE191"/>
  <c r="BJ191"/>
  <c r="J193"/>
  <c r="L193"/>
  <c r="Z193"/>
  <c r="AB193"/>
  <c r="AC193"/>
  <c r="AF193"/>
  <c r="AG193"/>
  <c r="AH193"/>
  <c r="AJ193"/>
  <c r="AK193"/>
  <c r="AL193"/>
  <c r="AO193"/>
  <c r="H193"/>
  <c r="AP193"/>
  <c r="BI193"/>
  <c r="AE193"/>
  <c r="BD193"/>
  <c r="BF193"/>
  <c r="BJ193"/>
  <c r="H195"/>
  <c r="J195"/>
  <c r="L195"/>
  <c r="Z195"/>
  <c r="AB195"/>
  <c r="AC195"/>
  <c r="AF195"/>
  <c r="AG195"/>
  <c r="AH195"/>
  <c r="AJ195"/>
  <c r="AK195"/>
  <c r="AL195"/>
  <c r="AO195"/>
  <c r="AP195"/>
  <c r="I195"/>
  <c r="AW195"/>
  <c r="AV195"/>
  <c r="AX195"/>
  <c r="BD195"/>
  <c r="BF195"/>
  <c r="BH195"/>
  <c r="AD195"/>
  <c r="BI195"/>
  <c r="AE195"/>
  <c r="BJ195"/>
  <c r="I197"/>
  <c r="J197"/>
  <c r="L197"/>
  <c r="Z197"/>
  <c r="AB197"/>
  <c r="AC197"/>
  <c r="AE197"/>
  <c r="AF197"/>
  <c r="AG197"/>
  <c r="AH197"/>
  <c r="AJ197"/>
  <c r="AK197"/>
  <c r="AL197"/>
  <c r="AO197"/>
  <c r="H197"/>
  <c r="AP197"/>
  <c r="AX197"/>
  <c r="BD197"/>
  <c r="BF197"/>
  <c r="BI197"/>
  <c r="BJ197"/>
  <c r="H200"/>
  <c r="I200"/>
  <c r="J200"/>
  <c r="L200"/>
  <c r="Z200"/>
  <c r="AB200"/>
  <c r="AC200"/>
  <c r="AF200"/>
  <c r="AG200"/>
  <c r="AH200"/>
  <c r="AJ200"/>
  <c r="AK200"/>
  <c r="AL200"/>
  <c r="AO200"/>
  <c r="BH200"/>
  <c r="AD200"/>
  <c r="AP200"/>
  <c r="AW200"/>
  <c r="AV200"/>
  <c r="AX200"/>
  <c r="BD200"/>
  <c r="BF200"/>
  <c r="BI200"/>
  <c r="AE200"/>
  <c r="BJ200"/>
  <c r="I202"/>
  <c r="J202"/>
  <c r="L202"/>
  <c r="Z202"/>
  <c r="AB202"/>
  <c r="AC202"/>
  <c r="AF202"/>
  <c r="AG202"/>
  <c r="AH202"/>
  <c r="AJ202"/>
  <c r="AK202"/>
  <c r="AL202"/>
  <c r="AO202"/>
  <c r="H202"/>
  <c r="AP202"/>
  <c r="BI202"/>
  <c r="AE202"/>
  <c r="AX202"/>
  <c r="BD202"/>
  <c r="BF202"/>
  <c r="BJ202"/>
  <c r="J204"/>
  <c r="L204"/>
  <c r="Z204"/>
  <c r="AB204"/>
  <c r="AC204"/>
  <c r="AD204"/>
  <c r="AF204"/>
  <c r="AG204"/>
  <c r="AH204"/>
  <c r="AJ204"/>
  <c r="AK204"/>
  <c r="AL204"/>
  <c r="AO204"/>
  <c r="H204"/>
  <c r="AP204"/>
  <c r="BI204"/>
  <c r="AE204"/>
  <c r="AW204"/>
  <c r="BD204"/>
  <c r="BF204"/>
  <c r="BH204"/>
  <c r="BJ204"/>
  <c r="I206"/>
  <c r="J206"/>
  <c r="L206"/>
  <c r="AB206"/>
  <c r="AC206"/>
  <c r="AD206"/>
  <c r="AE206"/>
  <c r="AF206"/>
  <c r="AG206"/>
  <c r="AH206"/>
  <c r="AJ206"/>
  <c r="AK206"/>
  <c r="AL206"/>
  <c r="AO206"/>
  <c r="BH206"/>
  <c r="AP206"/>
  <c r="AX206"/>
  <c r="BD206"/>
  <c r="BF206"/>
  <c r="BI206"/>
  <c r="BJ206"/>
  <c r="Z206"/>
  <c r="H208"/>
  <c r="I208"/>
  <c r="J208"/>
  <c r="L208"/>
  <c r="Z208"/>
  <c r="AB208"/>
  <c r="AC208"/>
  <c r="AD208"/>
  <c r="AE208"/>
  <c r="AF208"/>
  <c r="AG208"/>
  <c r="AH208"/>
  <c r="AJ208"/>
  <c r="AK208"/>
  <c r="AL208"/>
  <c r="AO208"/>
  <c r="AP208"/>
  <c r="AV208"/>
  <c r="AW208"/>
  <c r="AX208"/>
  <c r="BC208"/>
  <c r="BD208"/>
  <c r="BF208"/>
  <c r="BH208"/>
  <c r="BI208"/>
  <c r="BJ208"/>
  <c r="L209"/>
  <c r="J210"/>
  <c r="L210"/>
  <c r="Z210"/>
  <c r="AB210"/>
  <c r="AC210"/>
  <c r="AF210"/>
  <c r="AG210"/>
  <c r="AH210"/>
  <c r="AJ210"/>
  <c r="AK210"/>
  <c r="AT209"/>
  <c r="AL210"/>
  <c r="AO210"/>
  <c r="H210"/>
  <c r="AP210"/>
  <c r="I210"/>
  <c r="AW210"/>
  <c r="BD210"/>
  <c r="BF210"/>
  <c r="BJ210"/>
  <c r="H214"/>
  <c r="J214"/>
  <c r="J209"/>
  <c r="F14" i="2"/>
  <c r="I14"/>
  <c r="L214" i="1"/>
  <c r="Z214"/>
  <c r="AB214"/>
  <c r="AC214"/>
  <c r="AD214"/>
  <c r="AE214"/>
  <c r="AF214"/>
  <c r="AG214"/>
  <c r="AH214"/>
  <c r="AJ214"/>
  <c r="AK214"/>
  <c r="AL214"/>
  <c r="AO214"/>
  <c r="AP214"/>
  <c r="BI214"/>
  <c r="AW214"/>
  <c r="BD214"/>
  <c r="BF214"/>
  <c r="BH214"/>
  <c r="BJ214"/>
  <c r="L216"/>
  <c r="H217"/>
  <c r="I217"/>
  <c r="J217"/>
  <c r="L217"/>
  <c r="Z217"/>
  <c r="AD217"/>
  <c r="AE217"/>
  <c r="AF217"/>
  <c r="AG217"/>
  <c r="AH217"/>
  <c r="AJ217"/>
  <c r="AK217"/>
  <c r="AL217"/>
  <c r="AO217"/>
  <c r="BH217"/>
  <c r="AB217"/>
  <c r="AP217"/>
  <c r="BI217"/>
  <c r="AC217"/>
  <c r="AW217"/>
  <c r="AV217"/>
  <c r="AX217"/>
  <c r="BD217"/>
  <c r="BF217"/>
  <c r="BJ217"/>
  <c r="I220"/>
  <c r="J220"/>
  <c r="L220"/>
  <c r="Z220"/>
  <c r="AD220"/>
  <c r="AE220"/>
  <c r="AF220"/>
  <c r="AG220"/>
  <c r="AH220"/>
  <c r="AJ220"/>
  <c r="AK220"/>
  <c r="AL220"/>
  <c r="AO220"/>
  <c r="H220"/>
  <c r="AP220"/>
  <c r="AX220"/>
  <c r="BD220"/>
  <c r="BF220"/>
  <c r="BI220"/>
  <c r="AC220"/>
  <c r="BJ220"/>
  <c r="J222"/>
  <c r="L222"/>
  <c r="Z222"/>
  <c r="AD222"/>
  <c r="AE222"/>
  <c r="AF222"/>
  <c r="AG222"/>
  <c r="AH222"/>
  <c r="AJ222"/>
  <c r="AK222"/>
  <c r="AL222"/>
  <c r="AO222"/>
  <c r="H222"/>
  <c r="AP222"/>
  <c r="BI222"/>
  <c r="AC222"/>
  <c r="BD222"/>
  <c r="BF222"/>
  <c r="BJ222"/>
  <c r="L224"/>
  <c r="J225"/>
  <c r="L225"/>
  <c r="Z225"/>
  <c r="AD225"/>
  <c r="AE225"/>
  <c r="AF225"/>
  <c r="AG225"/>
  <c r="AH225"/>
  <c r="AJ225"/>
  <c r="AK225"/>
  <c r="AL225"/>
  <c r="AO225"/>
  <c r="H225"/>
  <c r="AP225"/>
  <c r="I225"/>
  <c r="BD225"/>
  <c r="BF225"/>
  <c r="BH225"/>
  <c r="AB225"/>
  <c r="BJ225"/>
  <c r="J228"/>
  <c r="L228"/>
  <c r="Z228"/>
  <c r="AB228"/>
  <c r="AD228"/>
  <c r="AE228"/>
  <c r="AF228"/>
  <c r="AG228"/>
  <c r="AH228"/>
  <c r="AJ228"/>
  <c r="AK228"/>
  <c r="AL228"/>
  <c r="AO228"/>
  <c r="H228"/>
  <c r="AP228"/>
  <c r="BI228"/>
  <c r="AC228"/>
  <c r="BD228"/>
  <c r="BF228"/>
  <c r="BH228"/>
  <c r="BJ228"/>
  <c r="J231"/>
  <c r="L231"/>
  <c r="Z231"/>
  <c r="AD231"/>
  <c r="AE231"/>
  <c r="AF231"/>
  <c r="AG231"/>
  <c r="AH231"/>
  <c r="AJ231"/>
  <c r="AK231"/>
  <c r="AL231"/>
  <c r="AO231"/>
  <c r="BH231"/>
  <c r="AB231"/>
  <c r="AP231"/>
  <c r="I231"/>
  <c r="BD231"/>
  <c r="BF231"/>
  <c r="BJ231"/>
  <c r="H233"/>
  <c r="I233"/>
  <c r="J233"/>
  <c r="L233"/>
  <c r="Z233"/>
  <c r="AC233"/>
  <c r="AD233"/>
  <c r="AE233"/>
  <c r="AF233"/>
  <c r="AG233"/>
  <c r="AH233"/>
  <c r="AJ233"/>
  <c r="AK233"/>
  <c r="AL233"/>
  <c r="AO233"/>
  <c r="AP233"/>
  <c r="AW233"/>
  <c r="AV233"/>
  <c r="AX233"/>
  <c r="BC233"/>
  <c r="BD233"/>
  <c r="BF233"/>
  <c r="BH233"/>
  <c r="AB233"/>
  <c r="BI233"/>
  <c r="BJ233"/>
  <c r="L235"/>
  <c r="J236"/>
  <c r="L236"/>
  <c r="AB236"/>
  <c r="AC236"/>
  <c r="AD236"/>
  <c r="AE236"/>
  <c r="AF236"/>
  <c r="AG236"/>
  <c r="AH236"/>
  <c r="AJ236"/>
  <c r="AK236"/>
  <c r="AL236"/>
  <c r="AO236"/>
  <c r="H236"/>
  <c r="AP236"/>
  <c r="BI236"/>
  <c r="BD236"/>
  <c r="BF236"/>
  <c r="BH236"/>
  <c r="BJ236"/>
  <c r="Z236"/>
  <c r="I238"/>
  <c r="J238"/>
  <c r="L238"/>
  <c r="AB238"/>
  <c r="AC238"/>
  <c r="AD238"/>
  <c r="AE238"/>
  <c r="AF238"/>
  <c r="AG238"/>
  <c r="AH238"/>
  <c r="AJ238"/>
  <c r="AK238"/>
  <c r="AL238"/>
  <c r="AO238"/>
  <c r="H238"/>
  <c r="AP238"/>
  <c r="BI238"/>
  <c r="AX238"/>
  <c r="BD238"/>
  <c r="BF238"/>
  <c r="BJ238"/>
  <c r="Z238"/>
  <c r="H240"/>
  <c r="J240"/>
  <c r="L240"/>
  <c r="Z240"/>
  <c r="AB240"/>
  <c r="AC240"/>
  <c r="AD240"/>
  <c r="AE240"/>
  <c r="AF240"/>
  <c r="AG240"/>
  <c r="AH240"/>
  <c r="AJ240"/>
  <c r="AK240"/>
  <c r="AL240"/>
  <c r="AO240"/>
  <c r="AP240"/>
  <c r="I240"/>
  <c r="AW240"/>
  <c r="BD240"/>
  <c r="BF240"/>
  <c r="BH240"/>
  <c r="BI240"/>
  <c r="BJ240"/>
  <c r="I242"/>
  <c r="J242"/>
  <c r="L242"/>
  <c r="AB242"/>
  <c r="AC242"/>
  <c r="AD242"/>
  <c r="AE242"/>
  <c r="AF242"/>
  <c r="AG242"/>
  <c r="AH242"/>
  <c r="AJ242"/>
  <c r="AK242"/>
  <c r="AL242"/>
  <c r="AO242"/>
  <c r="H242"/>
  <c r="AP242"/>
  <c r="BI242"/>
  <c r="AV242"/>
  <c r="AW242"/>
  <c r="AX242"/>
  <c r="BC242"/>
  <c r="BD242"/>
  <c r="BF242"/>
  <c r="BH242"/>
  <c r="BJ242"/>
  <c r="Z242"/>
  <c r="H244"/>
  <c r="I244"/>
  <c r="J244"/>
  <c r="L244"/>
  <c r="AB244"/>
  <c r="AC244"/>
  <c r="AD244"/>
  <c r="AE244"/>
  <c r="AF244"/>
  <c r="AG244"/>
  <c r="AH244"/>
  <c r="AJ244"/>
  <c r="AK244"/>
  <c r="AL244"/>
  <c r="AO244"/>
  <c r="AP244"/>
  <c r="AW244"/>
  <c r="AV244"/>
  <c r="AX244"/>
  <c r="BC244"/>
  <c r="BD244"/>
  <c r="BF244"/>
  <c r="BH244"/>
  <c r="BI244"/>
  <c r="BJ244"/>
  <c r="Z244"/>
  <c r="I246"/>
  <c r="J246"/>
  <c r="L246"/>
  <c r="AB246"/>
  <c r="AC246"/>
  <c r="AD246"/>
  <c r="AE246"/>
  <c r="AF246"/>
  <c r="AG246"/>
  <c r="AH246"/>
  <c r="AJ246"/>
  <c r="AK246"/>
  <c r="AL246"/>
  <c r="AO246"/>
  <c r="H246"/>
  <c r="AP246"/>
  <c r="BI246"/>
  <c r="AX246"/>
  <c r="BD246"/>
  <c r="BF246"/>
  <c r="BJ246"/>
  <c r="Z246"/>
  <c r="B2" i="2"/>
  <c r="E2"/>
  <c r="B4"/>
  <c r="E4"/>
  <c r="B6"/>
  <c r="E6"/>
  <c r="B8"/>
  <c r="E8"/>
  <c r="G11"/>
  <c r="G12"/>
  <c r="G13"/>
  <c r="G14"/>
  <c r="G15"/>
  <c r="G16"/>
  <c r="G17"/>
  <c r="BH246" i="1"/>
  <c r="AW246"/>
  <c r="J235"/>
  <c r="F17" i="2"/>
  <c r="I17"/>
  <c r="AU235" i="1"/>
  <c r="AS235"/>
  <c r="AX240"/>
  <c r="AV240"/>
  <c r="BH238"/>
  <c r="AT235"/>
  <c r="AW238"/>
  <c r="H235"/>
  <c r="D17" i="2"/>
  <c r="AX236" i="1"/>
  <c r="I236"/>
  <c r="I235"/>
  <c r="E17" i="2"/>
  <c r="AW236" i="1"/>
  <c r="AU224"/>
  <c r="AT224"/>
  <c r="AS224"/>
  <c r="AX231"/>
  <c r="J224"/>
  <c r="F16" i="2"/>
  <c r="I16"/>
  <c r="BI231" i="1"/>
  <c r="AC231"/>
  <c r="C15" i="3"/>
  <c r="AW231" i="1"/>
  <c r="H231"/>
  <c r="AX228"/>
  <c r="I228"/>
  <c r="I224"/>
  <c r="E16" i="2"/>
  <c r="AW228" i="1"/>
  <c r="H224"/>
  <c r="D16" i="2"/>
  <c r="AX225" i="1"/>
  <c r="BI225"/>
  <c r="AC225"/>
  <c r="AW225"/>
  <c r="BH222"/>
  <c r="AB222"/>
  <c r="AX222"/>
  <c r="I222"/>
  <c r="I216"/>
  <c r="E15" i="2"/>
  <c r="AS216" i="1"/>
  <c r="AW222"/>
  <c r="J216"/>
  <c r="F15" i="2"/>
  <c r="I15"/>
  <c r="BH220" i="1"/>
  <c r="AB220"/>
  <c r="AU216"/>
  <c r="H216"/>
  <c r="D15" i="2"/>
  <c r="AT216" i="1"/>
  <c r="AW220"/>
  <c r="BC217"/>
  <c r="AU209"/>
  <c r="AS209"/>
  <c r="AX214"/>
  <c r="BC214"/>
  <c r="I214"/>
  <c r="I209"/>
  <c r="E14" i="2"/>
  <c r="H209" i="1"/>
  <c r="D14" i="2"/>
  <c r="BI210" i="1"/>
  <c r="AE210"/>
  <c r="BH210"/>
  <c r="AD210"/>
  <c r="AV210"/>
  <c r="AX210"/>
  <c r="BC210"/>
  <c r="H206"/>
  <c r="AW206"/>
  <c r="AX204"/>
  <c r="BC204"/>
  <c r="I204"/>
  <c r="BH202"/>
  <c r="AD202"/>
  <c r="AW202"/>
  <c r="BC200"/>
  <c r="BH197"/>
  <c r="AD197"/>
  <c r="AW197"/>
  <c r="BC195"/>
  <c r="AX193"/>
  <c r="BH193"/>
  <c r="AD193"/>
  <c r="I193"/>
  <c r="AW193"/>
  <c r="AX191"/>
  <c r="BC191"/>
  <c r="AV191"/>
  <c r="AX188"/>
  <c r="BH188"/>
  <c r="AD188"/>
  <c r="I188"/>
  <c r="AW188"/>
  <c r="BC185"/>
  <c r="AX183"/>
  <c r="I183"/>
  <c r="AW183"/>
  <c r="H183"/>
  <c r="BH181"/>
  <c r="AD181"/>
  <c r="AS168"/>
  <c r="AW181"/>
  <c r="AW179"/>
  <c r="H179"/>
  <c r="AW174"/>
  <c r="H174"/>
  <c r="AU168"/>
  <c r="AT168"/>
  <c r="J168"/>
  <c r="F13" i="2"/>
  <c r="I13"/>
  <c r="AW169" i="1"/>
  <c r="H169"/>
  <c r="BI166"/>
  <c r="AW166"/>
  <c r="BH166"/>
  <c r="I166"/>
  <c r="BC162"/>
  <c r="AX158"/>
  <c r="I158"/>
  <c r="AW158"/>
  <c r="H158"/>
  <c r="AX156"/>
  <c r="AV156"/>
  <c r="I156"/>
  <c r="BH152"/>
  <c r="AD152"/>
  <c r="AW152"/>
  <c r="BC150"/>
  <c r="AX148"/>
  <c r="I148"/>
  <c r="AW148"/>
  <c r="AV145"/>
  <c r="BC143"/>
  <c r="BC141"/>
  <c r="AX138"/>
  <c r="I138"/>
  <c r="AW138"/>
  <c r="AV135"/>
  <c r="I135"/>
  <c r="I133"/>
  <c r="AW133"/>
  <c r="H133"/>
  <c r="AV131"/>
  <c r="BI129"/>
  <c r="AE129"/>
  <c r="BH129"/>
  <c r="AD129"/>
  <c r="AX129"/>
  <c r="AW129"/>
  <c r="BC127"/>
  <c r="BH124"/>
  <c r="AD124"/>
  <c r="AW124"/>
  <c r="BC121"/>
  <c r="BH118"/>
  <c r="AD118"/>
  <c r="AX118"/>
  <c r="I118"/>
  <c r="AW118"/>
  <c r="AX115"/>
  <c r="AV115"/>
  <c r="BH112"/>
  <c r="AD112"/>
  <c r="I112"/>
  <c r="AX112"/>
  <c r="AW112"/>
  <c r="AX109"/>
  <c r="AV109"/>
  <c r="AX106"/>
  <c r="AV106"/>
  <c r="I106"/>
  <c r="H103"/>
  <c r="AW103"/>
  <c r="AX100"/>
  <c r="I100"/>
  <c r="AX98"/>
  <c r="BC98"/>
  <c r="AV98"/>
  <c r="AX96"/>
  <c r="BH96"/>
  <c r="AD96"/>
  <c r="I96"/>
  <c r="AW96"/>
  <c r="BC94"/>
  <c r="AX94"/>
  <c r="AV94"/>
  <c r="BI92"/>
  <c r="AE92"/>
  <c r="AW92"/>
  <c r="AX92"/>
  <c r="BH90"/>
  <c r="AD90"/>
  <c r="I90"/>
  <c r="AW90"/>
  <c r="AX88"/>
  <c r="AV88"/>
  <c r="AS81"/>
  <c r="AT81"/>
  <c r="J81"/>
  <c r="F12" i="2"/>
  <c r="I12" s="1"/>
  <c r="AW84" i="1"/>
  <c r="H84"/>
  <c r="AU81"/>
  <c r="AX82"/>
  <c r="AW82"/>
  <c r="H82"/>
  <c r="H81"/>
  <c r="D12" i="2"/>
  <c r="AX79" i="1"/>
  <c r="AV79"/>
  <c r="AX77"/>
  <c r="I77"/>
  <c r="AW77"/>
  <c r="H77"/>
  <c r="BI75"/>
  <c r="AE75"/>
  <c r="AW75"/>
  <c r="AX75"/>
  <c r="AX72"/>
  <c r="I72"/>
  <c r="AW72"/>
  <c r="H72"/>
  <c r="AX70"/>
  <c r="I70"/>
  <c r="AW70"/>
  <c r="H70"/>
  <c r="H68"/>
  <c r="AW68"/>
  <c r="AV65"/>
  <c r="AX62"/>
  <c r="AV62"/>
  <c r="AX60"/>
  <c r="I60"/>
  <c r="AW60"/>
  <c r="H60"/>
  <c r="AX58"/>
  <c r="I58"/>
  <c r="AW58"/>
  <c r="AW56"/>
  <c r="H56"/>
  <c r="AX56"/>
  <c r="AW54"/>
  <c r="H54"/>
  <c r="BC52"/>
  <c r="AX52"/>
  <c r="AV52"/>
  <c r="AV49"/>
  <c r="AX45"/>
  <c r="I45"/>
  <c r="AW45"/>
  <c r="AX43"/>
  <c r="BC43"/>
  <c r="H43"/>
  <c r="AV43"/>
  <c r="AX41"/>
  <c r="I41"/>
  <c r="BH41"/>
  <c r="AD41"/>
  <c r="AW41"/>
  <c r="BC39"/>
  <c r="AX39"/>
  <c r="AV39"/>
  <c r="AV37"/>
  <c r="AX37"/>
  <c r="BC37"/>
  <c r="AX35"/>
  <c r="I35"/>
  <c r="H35"/>
  <c r="AW35"/>
  <c r="BH33"/>
  <c r="AD33"/>
  <c r="AX33"/>
  <c r="I33"/>
  <c r="AW33"/>
  <c r="AX31"/>
  <c r="AV31"/>
  <c r="AX29"/>
  <c r="BC29"/>
  <c r="I29"/>
  <c r="AV29"/>
  <c r="AX27"/>
  <c r="BC27"/>
  <c r="I27"/>
  <c r="AV27"/>
  <c r="BH25"/>
  <c r="AD25"/>
  <c r="AX25"/>
  <c r="I25"/>
  <c r="AW25"/>
  <c r="AX23"/>
  <c r="BC23"/>
  <c r="AV23"/>
  <c r="AX21"/>
  <c r="AW21"/>
  <c r="H21"/>
  <c r="C18" i="3"/>
  <c r="BI17" i="1"/>
  <c r="AE17"/>
  <c r="C27" i="3"/>
  <c r="I28" s="1"/>
  <c r="AX17" i="1"/>
  <c r="AT12"/>
  <c r="C29" i="3"/>
  <c r="F29" s="1"/>
  <c r="BC15" i="1"/>
  <c r="C19" i="3"/>
  <c r="J12" i="1"/>
  <c r="F11" i="2"/>
  <c r="I11" s="1"/>
  <c r="AS12" i="1"/>
  <c r="C28" i="3"/>
  <c r="F28" s="1"/>
  <c r="C14"/>
  <c r="C22" s="1"/>
  <c r="C21"/>
  <c r="C20"/>
  <c r="AX13" i="1"/>
  <c r="BH13"/>
  <c r="AD13"/>
  <c r="AU12"/>
  <c r="I13"/>
  <c r="AW13"/>
  <c r="BC246"/>
  <c r="AV246"/>
  <c r="BC240"/>
  <c r="AV238"/>
  <c r="BC238"/>
  <c r="AV236"/>
  <c r="BC236"/>
  <c r="BC231"/>
  <c r="AV231"/>
  <c r="AV228"/>
  <c r="BC228"/>
  <c r="AV225"/>
  <c r="BC225"/>
  <c r="BC222"/>
  <c r="AV222"/>
  <c r="BC220"/>
  <c r="AV220"/>
  <c r="AV214"/>
  <c r="AV206"/>
  <c r="BC206"/>
  <c r="I168"/>
  <c r="E13" i="2"/>
  <c r="AV204" i="1"/>
  <c r="BC202"/>
  <c r="AV202"/>
  <c r="BC197"/>
  <c r="AV197"/>
  <c r="AV193"/>
  <c r="BC193"/>
  <c r="AV188"/>
  <c r="BC188"/>
  <c r="H168"/>
  <c r="D13" i="2"/>
  <c r="AV183" i="1"/>
  <c r="BC183"/>
  <c r="BC181"/>
  <c r="AV181"/>
  <c r="AV179"/>
  <c r="BC179"/>
  <c r="AV174"/>
  <c r="BC174"/>
  <c r="AV169"/>
  <c r="BC169"/>
  <c r="BC166"/>
  <c r="AV166"/>
  <c r="AV158"/>
  <c r="BC158"/>
  <c r="BC156"/>
  <c r="BC152"/>
  <c r="AV152"/>
  <c r="AV148"/>
  <c r="BC148"/>
  <c r="AV138"/>
  <c r="BC138"/>
  <c r="AV133"/>
  <c r="BC133"/>
  <c r="BC129"/>
  <c r="AV129"/>
  <c r="BC124"/>
  <c r="AV124"/>
  <c r="BC118"/>
  <c r="AV118"/>
  <c r="BC115"/>
  <c r="BC112"/>
  <c r="AV112"/>
  <c r="BC109"/>
  <c r="BC106"/>
  <c r="AV103"/>
  <c r="BC103"/>
  <c r="AV100"/>
  <c r="BC100"/>
  <c r="I81"/>
  <c r="E12" i="2"/>
  <c r="BC96" i="1"/>
  <c r="AV96"/>
  <c r="BC92"/>
  <c r="AV92"/>
  <c r="AV90"/>
  <c r="BC90"/>
  <c r="BC88"/>
  <c r="AV84"/>
  <c r="BC84"/>
  <c r="AV82"/>
  <c r="BC82"/>
  <c r="BC79"/>
  <c r="BC77"/>
  <c r="AV77"/>
  <c r="C17" i="3"/>
  <c r="BC75" i="1"/>
  <c r="AV75"/>
  <c r="AV72"/>
  <c r="BC72"/>
  <c r="AV70"/>
  <c r="BC70"/>
  <c r="H12"/>
  <c r="D11" i="2"/>
  <c r="AV68" i="1"/>
  <c r="BC68"/>
  <c r="BC62"/>
  <c r="AV60"/>
  <c r="BC60"/>
  <c r="BC58"/>
  <c r="AV58"/>
  <c r="AV56"/>
  <c r="BC56"/>
  <c r="BC54"/>
  <c r="AV54"/>
  <c r="BC45"/>
  <c r="AV45"/>
  <c r="AV41"/>
  <c r="BC41"/>
  <c r="C16" i="3"/>
  <c r="AV35" i="1"/>
  <c r="BC35"/>
  <c r="BC33"/>
  <c r="AV33"/>
  <c r="BC31"/>
  <c r="I12"/>
  <c r="E11" i="2"/>
  <c r="BC25" i="1"/>
  <c r="AV25"/>
  <c r="AV21"/>
  <c r="BC21"/>
  <c r="BC17"/>
  <c r="AV17"/>
  <c r="J248"/>
  <c r="BC13"/>
  <c r="AV13"/>
  <c r="I29" i="3" l="1"/>
  <c r="F19" i="2"/>
</calcChain>
</file>

<file path=xl/sharedStrings.xml><?xml version="1.0" encoding="utf-8"?>
<sst xmlns="http://schemas.openxmlformats.org/spreadsheetml/2006/main" count="1197" uniqueCount="538">
  <si>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</si>
  <si>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</si>
  <si>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</si>
  <si>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</si>
  <si>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</si>
  <si>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</si>
  <si>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</si>
  <si>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</si>
  <si>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</si>
  <si>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</si>
  <si>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</si>
  <si>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</si>
  <si>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</si>
  <si>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</si>
  <si>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</si>
  <si>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</si>
  <si>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</si>
  <si>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</si>
  <si>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</si>
  <si>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</si>
  <si>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</si>
  <si>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</si>
  <si>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</si>
  <si>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</si>
  <si>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</si>
  <si>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</si>
  <si>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</si>
  <si>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</si>
  <si>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</si>
  <si>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</si>
  <si>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</si>
  <si>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</si>
  <si>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</si>
  <si>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</si>
  <si>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</si>
  <si>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</si>
  <si>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</si>
  <si>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</si>
  <si>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</si>
  <si>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</si>
  <si>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</si>
  <si>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</si>
  <si>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</si>
  <si>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</si>
  <si>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</si>
  <si>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</si>
  <si>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</si>
  <si>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</si>
  <si>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</si>
  <si>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</si>
  <si>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</si>
  <si>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</si>
  <si>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</si>
  <si>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</si>
  <si>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</si>
  <si>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</si>
  <si>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</si>
  <si>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</si>
  <si>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</si>
  <si>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</si>
  <si>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</si>
  <si>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</si>
  <si>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</si>
  <si>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</si>
  <si>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</si>
  <si>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</si>
  <si>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</si>
  <si>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</si>
  <si>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</si>
  <si>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</si>
  <si>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</si>
  <si>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</si>
  <si>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</si>
  <si>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</si>
  <si>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</si>
  <si>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</si>
  <si>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</si>
  <si>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</si>
  <si>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</si>
  <si>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</si>
  <si>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</si>
  <si>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</si>
  <si>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</si>
  <si>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</si>
  <si>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</si>
  <si>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</si>
  <si>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</si>
  <si>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</si>
  <si>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</si>
  <si>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</si>
  <si>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</si>
  <si>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</si>
  <si>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</si>
  <si>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</si>
  <si>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</si>
  <si>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</si>
  <si>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</si>
  <si>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</si>
  <si>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</si>
  <si>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</si>
  <si>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</si>
  <si>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</si>
  <si>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</si>
  <si>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</si>
  <si>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</si>
  <si>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</si>
  <si>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</si>
  <si>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</si>
  <si>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Poznámka:</t>
  </si>
  <si>
    <t>Objekt</t>
  </si>
  <si>
    <t>Kód</t>
  </si>
  <si>
    <t>721</t>
  </si>
  <si>
    <t>721 02-0900VD</t>
  </si>
  <si>
    <t>721 00-5900VD</t>
  </si>
  <si>
    <t>721140913R00</t>
  </si>
  <si>
    <t>721140915R00</t>
  </si>
  <si>
    <t>721140923R00</t>
  </si>
  <si>
    <t>721140925R00</t>
  </si>
  <si>
    <t>721170965R00</t>
  </si>
  <si>
    <t>721170975R00</t>
  </si>
  <si>
    <t>721140933R00</t>
  </si>
  <si>
    <t>721140935R00</t>
  </si>
  <si>
    <t>721176114R00</t>
  </si>
  <si>
    <t>721176115R00</t>
  </si>
  <si>
    <t>721176101R00</t>
  </si>
  <si>
    <t>721176102R00</t>
  </si>
  <si>
    <t>721176103R00</t>
  </si>
  <si>
    <t>721176105R00</t>
  </si>
  <si>
    <t>721177234R00</t>
  </si>
  <si>
    <t>721177235R00</t>
  </si>
  <si>
    <t>721 00-00031VD</t>
  </si>
  <si>
    <t>721 00-9155VD</t>
  </si>
  <si>
    <t>721194103R00</t>
  </si>
  <si>
    <t>721194104R00</t>
  </si>
  <si>
    <t>721194105R00</t>
  </si>
  <si>
    <t>721194109R00</t>
  </si>
  <si>
    <t>721223424RT1</t>
  </si>
  <si>
    <t>721223425RT1</t>
  </si>
  <si>
    <t>721 20-0100VD</t>
  </si>
  <si>
    <t>721273200RT3</t>
  </si>
  <si>
    <t>721 01-0011VD</t>
  </si>
  <si>
    <t>721290112R00</t>
  </si>
  <si>
    <t>721290123R00</t>
  </si>
  <si>
    <t>998721102R00</t>
  </si>
  <si>
    <t>722</t>
  </si>
  <si>
    <t>722 09-0011VD</t>
  </si>
  <si>
    <t>722 00-5900VD</t>
  </si>
  <si>
    <t>722178711R00</t>
  </si>
  <si>
    <t>722178712R00</t>
  </si>
  <si>
    <t>722178713R00</t>
  </si>
  <si>
    <t>722178714R00</t>
  </si>
  <si>
    <t>722178715R00</t>
  </si>
  <si>
    <t>722178716R00</t>
  </si>
  <si>
    <t>722178717R00</t>
  </si>
  <si>
    <t>722 18-0049VD</t>
  </si>
  <si>
    <t>722 18-0050VD</t>
  </si>
  <si>
    <t>722 18-0051VD</t>
  </si>
  <si>
    <t>722 18-0052VD</t>
  </si>
  <si>
    <t>722 18-0053VD</t>
  </si>
  <si>
    <t>722 18-0054VD</t>
  </si>
  <si>
    <t>722 18-0055VD</t>
  </si>
  <si>
    <t>722 00-9001VD</t>
  </si>
  <si>
    <t>722 00-9002VD</t>
  </si>
  <si>
    <t>722 00-9015VD</t>
  </si>
  <si>
    <t>722 00-9026VD</t>
  </si>
  <si>
    <t>722-42239871VD</t>
  </si>
  <si>
    <t>722190401R00</t>
  </si>
  <si>
    <t>722-42239090VD</t>
  </si>
  <si>
    <t>722 00-0011VD</t>
  </si>
  <si>
    <t>722 00-6127VD</t>
  </si>
  <si>
    <t>722190901R00</t>
  </si>
  <si>
    <t>722 00-30067VD</t>
  </si>
  <si>
    <t>722-422380016VD</t>
  </si>
  <si>
    <t>722-422 003VD</t>
  </si>
  <si>
    <t>722-422380010VD</t>
  </si>
  <si>
    <t>722-422380011VD</t>
  </si>
  <si>
    <t>722-422380012VD</t>
  </si>
  <si>
    <t>722-422380013VD</t>
  </si>
  <si>
    <t>722-422380015VD</t>
  </si>
  <si>
    <t>722290229R00</t>
  </si>
  <si>
    <t>722290234R00</t>
  </si>
  <si>
    <t>998722102R00</t>
  </si>
  <si>
    <t>725</t>
  </si>
  <si>
    <t>725 99-0100VD</t>
  </si>
  <si>
    <t>725 03-0004VD</t>
  </si>
  <si>
    <t>725 11-0300VD</t>
  </si>
  <si>
    <t>725 11-0200VD</t>
  </si>
  <si>
    <t>725 01-9512VD</t>
  </si>
  <si>
    <t>725 00-5002VD</t>
  </si>
  <si>
    <t>725 01-9513VD</t>
  </si>
  <si>
    <t>725 00-5003VD</t>
  </si>
  <si>
    <t>725 10-0024VD</t>
  </si>
  <si>
    <t>725330820R00</t>
  </si>
  <si>
    <t>725210911R00</t>
  </si>
  <si>
    <t>725 27-0200VD</t>
  </si>
  <si>
    <t>725 98-0013VD</t>
  </si>
  <si>
    <t>725 00-3707VD</t>
  </si>
  <si>
    <t>725 00-3708VD</t>
  </si>
  <si>
    <t>725 00-1900VD</t>
  </si>
  <si>
    <t>998725102R00</t>
  </si>
  <si>
    <t>725 00-0000</t>
  </si>
  <si>
    <t>767</t>
  </si>
  <si>
    <t>767995101sz</t>
  </si>
  <si>
    <t>998767102R00</t>
  </si>
  <si>
    <t>946941102R00</t>
  </si>
  <si>
    <t>946941192R00</t>
  </si>
  <si>
    <t>946941802R00</t>
  </si>
  <si>
    <t>970051100R00</t>
  </si>
  <si>
    <t>970051160R00</t>
  </si>
  <si>
    <t>974031164R00</t>
  </si>
  <si>
    <t>974031167R00</t>
  </si>
  <si>
    <t>S</t>
  </si>
  <si>
    <t>979081111R00</t>
  </si>
  <si>
    <t>979081121R00</t>
  </si>
  <si>
    <t>979082111R00</t>
  </si>
  <si>
    <t>979082121R00</t>
  </si>
  <si>
    <t>979093111R00</t>
  </si>
  <si>
    <t>979999998R00</t>
  </si>
  <si>
    <t>NEMOCNICE PÍSEK  a.s., SOC. ZÁZEMÍ CHIR. ODDĚLENÍ I. ETAPA, REKONSTRUKCE ČÁSTI 2.NP BUDOVY L-</t>
  </si>
  <si>
    <t>D.1.01.4a - ZDRAVOTNĚ TECHNICKÉ INSTALACE</t>
  </si>
  <si>
    <t>PÍSEK</t>
  </si>
  <si>
    <t>Zkrácený popis / Varianta</t>
  </si>
  <si>
    <t>Rozměry</t>
  </si>
  <si>
    <t>Vnitřní kanalizace</t>
  </si>
  <si>
    <t>Demontáž stávajících instalací včetně ekologické likvidace odpadu</t>
  </si>
  <si>
    <t>1*120   </t>
  </si>
  <si>
    <t>Ověření tras a dimenzí</t>
  </si>
  <si>
    <t>1*3   </t>
  </si>
  <si>
    <t>Oprava-propoj.dosavadního potrubí litinového DN 70</t>
  </si>
  <si>
    <t>1*9   viz. v.č. 201</t>
  </si>
  <si>
    <t>Oprava-propoj.dosavadního potrubí litinového DN100</t>
  </si>
  <si>
    <t>1*7   viz. v.č. 201</t>
  </si>
  <si>
    <t>Oprava potrubí litinového, krácení trub DN 70</t>
  </si>
  <si>
    <t>Oprava potrubí litinového, krácení trub DN 100</t>
  </si>
  <si>
    <t>Oprava - propojení dosavadního potrubí PVC D 110</t>
  </si>
  <si>
    <t>1*14   viz. v.č. 201</t>
  </si>
  <si>
    <t>Oprava potrubí z PVC, krácení trub D 110 mm</t>
  </si>
  <si>
    <t>Oprava - přechod z plastových trub na litinu DN 70</t>
  </si>
  <si>
    <t>1*9   viz. v..č. 201</t>
  </si>
  <si>
    <t>Oprava - přechod z plastových trub na litinu DN100</t>
  </si>
  <si>
    <t>Potrubí HT odpadní svislé/zavěšené D 75 x 1,9 mm - montáž a dodávka potrubí včetně tvarovek spojek, těsnění , čistících kusů a přechodů</t>
  </si>
  <si>
    <t>1*30   viz. v.č. 101, 102 a 201</t>
  </si>
  <si>
    <t>Potrubí HT odpadní svislé/zavěšené D 110 x 2,7 mm - montáž a dodávka potrubí včetně tvarovek spojek, těsnění, čistících kusů a přechodů</t>
  </si>
  <si>
    <t>1*80   viz. v.č. 101, 102 a 201</t>
  </si>
  <si>
    <t>Potrubí HT připojovací D 32 x 1,8 mm - montáž a dodávka potrubí včetně tvarovek spojek, těsnění a přechodů</t>
  </si>
  <si>
    <t>1*40   viz. v.č.102, 201</t>
  </si>
  <si>
    <t>Potrubí HT připojovací D 40 x 1,8 mm - montáž a dodávka potrubí včetně tvarovek spojek, těsnění a přechodů</t>
  </si>
  <si>
    <t>1*45   viz. v.č.102, 201</t>
  </si>
  <si>
    <t>Potrubí HT připojovací D 50 x 1,8 mm - montáž a dodávka potrubí včetně tvarovek spojek, těsnění a přechodů</t>
  </si>
  <si>
    <t>1*10   viz. v.č.102, 201</t>
  </si>
  <si>
    <t>Potrubí HT připojovací D 110 x 2,7 mm - montáž a dodávka potrubí včetně tvarovek spojek, těsnění a přechodů</t>
  </si>
  <si>
    <t>Potrubí POLO-KAL 3S zavěšené/svislé D 75 x 3,8 mm - montáž a dodávka potrubí včetně tvarovek spojek, těsnění, čistících kusů a přechodů</t>
  </si>
  <si>
    <t>1*5   viz. v.č. 102, 201</t>
  </si>
  <si>
    <t>Potrubí POLO-KAL 3S ležaté zavěšené D 110 x 4,8 mm - montáž a dodávka potrubí včetně tvarovek spojek, těsnění, čistících kusů a přechodů</t>
  </si>
  <si>
    <t>1*55   viz. v.č. 102 a 201</t>
  </si>
  <si>
    <t>Podomítkový kondenzační sifon 100x100mm s mechanickým uzávěrem (kuličkou),DN32,včetně podomítkového tělesa a krytu-montáž+dodávka</t>
  </si>
  <si>
    <t>Pro KLM, položka zahrnuje i přechodový kus nátrubek 1/2"-1"/DN32/40</t>
  </si>
  <si>
    <t>1*12   viz. v.č. 102, 201</t>
  </si>
  <si>
    <t>Izolace potrubí včetně tvarovek proti rosení a hluku,minerální vlna/AL povrch tl.25mm</t>
  </si>
  <si>
    <t>1*275   protipožárná izolace potrubí, izolace potrubí při prostupech</t>
  </si>
  <si>
    <t>Vyvedení odpadních výpustek D 32 x 1,8</t>
  </si>
  <si>
    <t>1*12   viz. v.č.102, 201</t>
  </si>
  <si>
    <t>Vyvedení odpadních výpustek D 40 x 1,8</t>
  </si>
  <si>
    <t>1*17   viz. v.č.102, 201</t>
  </si>
  <si>
    <t>Vyvedení odpadních výpustek D 50 x 1,8</t>
  </si>
  <si>
    <t>1*1   viz.v.č.102, 201</t>
  </si>
  <si>
    <t>Vyvedení odpadních výpustek D 110 x 2,3</t>
  </si>
  <si>
    <t>1*21   viz.v.č.102,201</t>
  </si>
  <si>
    <t>Vpust nerezová podlahová se zápachovou uzávěrkou, DN100, spodní odtok - montáž+dodávka</t>
  </si>
  <si>
    <t>Podlahová vpust vhodná pro PVC podlahové krytiny, odtok 1,2 l/s</t>
  </si>
  <si>
    <t>1*6   viz. v.č.102,201</t>
  </si>
  <si>
    <t>Vpust nerezová podlahová se zápachovou uzávěrkou, DN100, boční odtok - montáž+dodávka</t>
  </si>
  <si>
    <t>1*2   viz. v.č.102,201</t>
  </si>
  <si>
    <t>Sifon pro dřez  DN50, lahvový,pro instalaci do nábytku, bílý plast - montáž+dodávka</t>
  </si>
  <si>
    <t>1*1   Instalace u D- v.č. 102, 201</t>
  </si>
  <si>
    <t>Souprava ventilační střešní DN100 - montáž+dodávka</t>
  </si>
  <si>
    <t>1*1   viz. v.č. 201</t>
  </si>
  <si>
    <t>Protipožární průchodky pro kanal.potrubí - montáž+dodávka</t>
  </si>
  <si>
    <t>položka zahrnuje i označení štítkem dle předpisu</t>
  </si>
  <si>
    <t>1*43   viz. v.č. 201</t>
  </si>
  <si>
    <t>Zkouška těsnosti kanalizace vodou do DN 200</t>
  </si>
  <si>
    <t>1*275   </t>
  </si>
  <si>
    <t>Zkouška těsnosti kanalizace kouřem do DN 300</t>
  </si>
  <si>
    <t>Přesun hmot pro vnitřní kanalizaci, výšky do 12 m</t>
  </si>
  <si>
    <t>1*7,2   </t>
  </si>
  <si>
    <t>Vnitřní vodovod</t>
  </si>
  <si>
    <t>Demontáž stávajících instalací vodovodu včetně ekologické likvidace odpadu</t>
  </si>
  <si>
    <t>Potrubí vícevrst.vod.PP-RCT/BF/PP-RCT,D 20x2,8 mm - montáž a dodávka potrubí včetně tvarovek, spojů a kompenzací</t>
  </si>
  <si>
    <t>1*215   viz. v.č. 103,104,202</t>
  </si>
  <si>
    <t>Potrubí vícevrst.vod..PP-RCT/BF/PP-RCT,D 25x3,5 mm  - montáž a dodávka potrubí včetně tvarovek, spojů a kompenzací</t>
  </si>
  <si>
    <t>1*135   viz. v.č. 103,104, 202</t>
  </si>
  <si>
    <t>Potrubí vícevrst.vod..PP-RCT/BF/PP-RCT,D 32x4,4 mm - montáž a dodávka potrubí včetně tvarovek, spojů a kompenzací</t>
  </si>
  <si>
    <t>1*105   viz. v.č. 103, 104, 202</t>
  </si>
  <si>
    <t>Potrubí vícevrst.vod..PP-RCT/BF/PP-RCT,D 40x5,5 mm - montáž a dodávka potrubí včetně tvarovek, spojů a kompenzací</t>
  </si>
  <si>
    <t>1*95   viz. v.č. 103,104,202</t>
  </si>
  <si>
    <t>Potrubí vícevrst.vod..PP-RCT/BF/PP-RCT,D 50x6,9 mm - montáž a dodávka potrubí včetně tvarovek, spojů a kompenzací</t>
  </si>
  <si>
    <t>1*40   viz. v.č. 103, 104,201</t>
  </si>
  <si>
    <t>Potrubí vícevrst.vod..PP-RCT/BF/PP-RCT,D 63x8,6 mm - montáž a dodávka potrubí včetně tvarovek, spojů a kompenzací</t>
  </si>
  <si>
    <t>1*35   viz. v.č.103,104,202</t>
  </si>
  <si>
    <t>Potrubí vícevrst.vod..PP-RCT/BF/PP-RCT,D 75x8,4 mm - montáž a dodávka potrubí včetně tvarovek, spojů a kompenzací</t>
  </si>
  <si>
    <t>1*30   viz. v.č. 103,104,202</t>
  </si>
  <si>
    <t>Izolace potrubí z min.vlny včetně izolace tvarovek na d20/20mm,povrchová úpr.AL, lepící páska - montáž+dodávka</t>
  </si>
  <si>
    <t>Požární klasifikace A2L - s1, d0, izolace vhodná i pro rozvody studené vody</t>
  </si>
  <si>
    <t>1*215   protipožární izolace potrubí</t>
  </si>
  <si>
    <t>Izolace potrubí z min.vlny včetně izolace tvarovek na d25/25mm,povrchová úpr.AL,lepící pásak - montáž+dodávka</t>
  </si>
  <si>
    <t>1*135   protipožární izolace potrubí</t>
  </si>
  <si>
    <t>Izolace potrubí z min.vlny včetně izolace tvarovek na d32/30mm,povrchová úpr.AL, lepící páska - montáž+dodávka</t>
  </si>
  <si>
    <t>1*105   protipožární izolace potrubí</t>
  </si>
  <si>
    <t>Izolace potrubí z min.vlny včetně izolace tvarovek na d40/40mm,povrchová úpr.AL, lepící páska - montáž+dodávka</t>
  </si>
  <si>
    <t>1*95   protipožární izolace potrubí</t>
  </si>
  <si>
    <t>Izolace potrubí z min.vlny včetně izolace tvarovek na d50/50mm,povrchová úpr.AL, lepící páska - montáž+dodávka</t>
  </si>
  <si>
    <t>1*40   protipožární izolace potrubí</t>
  </si>
  <si>
    <t>Izolace potrubí z min.vlny včetně izolace tvarovek na d63/50mm,povrchová úpr.AL, lepící páska - montáž+dodávka</t>
  </si>
  <si>
    <t>1*35   protipožární izolace potrubí</t>
  </si>
  <si>
    <t>Izolace potrubí z min.vlny včetně izolace tvarovek na d75/50mm,povrchová úpr.AL, lepící páska - montáž+dodávka</t>
  </si>
  <si>
    <t>1*30   protipožární izolace potrubí</t>
  </si>
  <si>
    <t>Automatický regulační/vyvažovací ventil pro syst.cirkulace teplé vody G1/2"  s měrnými jímkami- montáž a dodávka</t>
  </si>
  <si>
    <t>Rozsah 50-65°C ermostaticky řízená regulace nejjemnějších objemových proudů_x000D_
uzavírání a teplota kontrolovány v horní části, s měřicím čidlem teploty pro techniku vedení budov, kompletní z červeného bronzu, odolný proti agresivní vodě s bezúdržbovým utěsněním vřetena, bez mrtvého prostoru, registrace DIN/DVGW a zvukové izolace, plastové díly s registrací KTW</t>
  </si>
  <si>
    <t>1*4   viz. v.č. 104,202</t>
  </si>
  <si>
    <t>Automatický regulační/vyvažovací ventil pro syst.cirkulace teplé vody G3/4"  s měrnými jímkami- montáž a dodávka</t>
  </si>
  <si>
    <t>1*1   viz. v.č. 104,202</t>
  </si>
  <si>
    <t>Vyregulování soustavy teplé vody a cirkulace</t>
  </si>
  <si>
    <t>1*5   viz. položka vyvažovací ventil</t>
  </si>
  <si>
    <t>Kontrolovatelná zpětná armatura  typ EA  G3/4" - montáž+dodávka</t>
  </si>
  <si>
    <t>1*2   viz. v.č. 104</t>
  </si>
  <si>
    <t>Pračkový uzavírací ventil se zpětnou klapkou a vývodem na hadici G1/2"x3/4",montáž+dodávka</t>
  </si>
  <si>
    <t>Vyvedení a upevnění výpustek DN 15</t>
  </si>
  <si>
    <t>1*45   </t>
  </si>
  <si>
    <t>Odvzdušňovací ventil G1/2" pro pitnou vodu - montáž+dodávka</t>
  </si>
  <si>
    <t>před ventil předřadit uzávěr</t>
  </si>
  <si>
    <t>1*3   viz. v.č.104,202</t>
  </si>
  <si>
    <t>Orientační štítky,popisové tabulky - montáž+dodávka</t>
  </si>
  <si>
    <t>Popis směru a druhu media, popis armatur, popis zařízení, vyznačelí cest k uzávěrům a podobně</t>
  </si>
  <si>
    <t>1*50   </t>
  </si>
  <si>
    <t>Drobný instalační materiál - zátky, spony, víčka, záslepky a podobně</t>
  </si>
  <si>
    <t>1*100   </t>
  </si>
  <si>
    <t>Uzavření/otevření vodovodního potrubí při opravě</t>
  </si>
  <si>
    <t>2*25   </t>
  </si>
  <si>
    <t>Protipožární ucpávky pro vodovodní potrubí - montáž+dodávka</t>
  </si>
  <si>
    <t>1*12   viz. v.č.103,104,202</t>
  </si>
  <si>
    <t>Uzavírací ventil šikmý pitná voda, 80°C s vyp.  SV+TV G21/2",motáž+dodávka</t>
  </si>
  <si>
    <t>1*2   viz. v.č. 103, 202</t>
  </si>
  <si>
    <t>Uzavírací ventil šikmý pitná voda, 80°C  s vyp.-SV+TV G1",motáž+dodávka</t>
  </si>
  <si>
    <t>1*1   viz. v.č. 103,202</t>
  </si>
  <si>
    <t>Uzavírací ventil šikmý pitná voda, 80°C SV+TV G1/2",motáž+dodávka</t>
  </si>
  <si>
    <t>1*10   viz. v.č. 104, 202</t>
  </si>
  <si>
    <t>Uzavírací ventil šikmý pitná voda, 80°C  SV+TV G3/4",motáž+dodávka</t>
  </si>
  <si>
    <t>1*12   viz. v.č. 104, 202</t>
  </si>
  <si>
    <t>Uzavírací ventil šikmý pitná voda, 80°C  SV+TV G1",motáž+dodávka</t>
  </si>
  <si>
    <t>1*10   viz. v.č. 104,202</t>
  </si>
  <si>
    <t>Uzavírací ventil šikmý pitná voda, 80°C  SV+TV G5/4",motáž+dodávka</t>
  </si>
  <si>
    <t>1*1   viz. v.č. 104, 202</t>
  </si>
  <si>
    <t>Uzavírací ventil šikmý pitná voda, 80°C  SV+TV G2",motáž+dodávka</t>
  </si>
  <si>
    <t>1*2   viz.v.č.104,202</t>
  </si>
  <si>
    <t>Zkouška tlaku potrubí vodovodního do DN 100</t>
  </si>
  <si>
    <t>1*655   viz. potrubí</t>
  </si>
  <si>
    <t>Proplach a dezinfekce vodovod.potrubí do DN 80</t>
  </si>
  <si>
    <t>Přesun hmot pro vnitřní vodovod, výšky do 12 m</t>
  </si>
  <si>
    <t>1*10   </t>
  </si>
  <si>
    <t>Zařizovací předměty</t>
  </si>
  <si>
    <t>WC - WC závěsné keramické bílé 53cm, uzavřený splachovací kruh, splach.4,5L+sedátko s poklopem-montáž+dodávka</t>
  </si>
  <si>
    <t>povrchová úprava LCC</t>
  </si>
  <si>
    <t>1*12   viz. v.č.102,104,201,202</t>
  </si>
  <si>
    <t>Montážní prvek pro závěsné WC samonosný včetně nádržky,mont.sady a příslušenství,ovládací deska pro 2 splachování - motáž+dodávka</t>
  </si>
  <si>
    <t>Montážní prvek pro montáž suchým procesem + příslušenství</t>
  </si>
  <si>
    <t>Montážní prvek pro uchycení umyvadla a baterie,samonosný</t>
  </si>
  <si>
    <t>1*15   viz. v.č.102,104,201,202</t>
  </si>
  <si>
    <t>U-Umyvadlo keramické bílé 55x46,5cm, s otvorem pro baterii, ZU bílý plast - lahvový sifon,montážní sada-montáž+dodávka</t>
  </si>
  <si>
    <t>1*9   viz. v.č.102,104, 201,202</t>
  </si>
  <si>
    <t>Baterie stojánková umyvadlová směšovací páková s bidetovou sprškou a přepínačem na spršce, držák sprchy, rohové ventily - montáž+dodávka</t>
  </si>
  <si>
    <t>1*9   pro U</t>
  </si>
  <si>
    <t>U1-Umyvadlo keramické bílé 55x46,5cm bez otvoru, ZU bílý plast - lahvový sifon,montážní sada-montáž+dodávka</t>
  </si>
  <si>
    <t>1*6   viz. v.č.102,104, 201,202</t>
  </si>
  <si>
    <t>Baterie nástěnná směšovací páková G1/2"x150mm, povrch chrom - montáž+dodávka</t>
  </si>
  <si>
    <t xml:space="preserve">keramická kartuše 46 mm s technologií  SilkMove, technologie pro nízkou spotřebu vody a perfektní průtok, variabilně nastavitelný omezovač průtoku, variabilně nastavitelný omezovač teploty_x000D_
_x000D_
</t>
  </si>
  <si>
    <t>1*7   pro U1 a D</t>
  </si>
  <si>
    <t>Podomítková sprchová páková baterie včetně tělesa pro 2 vody, ruční  sprcha, držák s nastavitelnou výškou-montáž+dodávka</t>
  </si>
  <si>
    <t>pohledový rohový ventil, sprchová hadice 1700mm chrom, ruční sprcha 1 proud - zamezení usazování vodního kamene</t>
  </si>
  <si>
    <t>1*8   pro označení S</t>
  </si>
  <si>
    <t>Demontáž, uskladnění, zpětná montáž výlevky diturvitové včetně armatur a nádržky</t>
  </si>
  <si>
    <t>Demontáž a zpět.montáž umyvadla/dřezu včetně výtokové armatury</t>
  </si>
  <si>
    <t>1*3   Us+D</t>
  </si>
  <si>
    <t>Demontáž,uskladnění a opětovná montáž stávajících zařízení v čistící místnosti</t>
  </si>
  <si>
    <t>1*1   </t>
  </si>
  <si>
    <t>Revizní dvířka do stěny montáž pod obklad, včetně rámu 200x200mm , povrch v barvě stěny v místě osazení - montáž+dodávka</t>
  </si>
  <si>
    <t>Položka zahrnuje i povrchovou úpravu dvířek a dvířka pro obklad</t>
  </si>
  <si>
    <t>1*14   </t>
  </si>
  <si>
    <t>WC souprava s krytkou pro montáž na stěnu-provedení nerez-výběr dle architekta-montáž+dodávka</t>
  </si>
  <si>
    <t>1*12   </t>
  </si>
  <si>
    <t>Držák toaletního papíru nástěnný-nerez-výběr dle architekta</t>
  </si>
  <si>
    <t>Závěrečná kompletace keramiky</t>
  </si>
  <si>
    <t>1*27   </t>
  </si>
  <si>
    <t>Přesun hmot pro zařizovací předměty, výšky do 12 m</t>
  </si>
  <si>
    <t>1*8,5   </t>
  </si>
  <si>
    <t>Poznámka: veškeré pohldové prvky budou před zakoupením vyvzorkovány a odsouhlaseny s architektem a s investorem</t>
  </si>
  <si>
    <t>Konstrukce doplňkové stavební (zámečnické)</t>
  </si>
  <si>
    <t>Systémové uložení potrubí a zařízení, nosné žlábky pro potrubí, objímky s pryžovou manžetou, objímky plastové, fixace hrdel proti vysunutí</t>
  </si>
  <si>
    <t>nosné žlábky pro potrubí, objímky s pryžovou manžetou, objímky plastové, fixace hrdel proti vysunutí ,pomocný a kotevní materiá, pevná/kluzná uložení</t>
  </si>
  <si>
    <t>1*655   </t>
  </si>
  <si>
    <t>Přesun hmot pro zámečnické konstr., výšky do 12 m</t>
  </si>
  <si>
    <t>Lešení a stavební výtahy</t>
  </si>
  <si>
    <t>Montáž pojízdných Alu věží  2,5 x 1,45 m</t>
  </si>
  <si>
    <t>Výška do 4,5m</t>
  </si>
  <si>
    <t>1*1   1 sada sad na patře</t>
  </si>
  <si>
    <t>Nájemné pojízdných Alu věží  2,5 x 1,45 m</t>
  </si>
  <si>
    <t>1*30*3   90dní</t>
  </si>
  <si>
    <t>Demontáž pojízdných Alu věží  2,5 x 1,45 m</t>
  </si>
  <si>
    <t>1*1   1 sada na patře</t>
  </si>
  <si>
    <t>Prorážení otvorů a ostatní bourací práce</t>
  </si>
  <si>
    <t>Vrtání jádrové do ŽB do D 100 mm</t>
  </si>
  <si>
    <t>Prostupy pro ZTI přes konstrukce</t>
  </si>
  <si>
    <t>40*0,5   INSTALACE ZTI</t>
  </si>
  <si>
    <t>Vrtání jádrové do ŽB do D 160 mm</t>
  </si>
  <si>
    <t>35*0,5   INSTALACE ZTI</t>
  </si>
  <si>
    <t>Vysekání rýh ve zdi cihelné 15 x 15 cm, zpětné zapravení</t>
  </si>
  <si>
    <t>1*50   drážky pro potrubí, niky pro uzávěry a pod.</t>
  </si>
  <si>
    <t>Vysekání rýh ve zdi cihelné 15 x 30 cm, zpětné zapravení</t>
  </si>
  <si>
    <t>1*12   drážky pro potrubí, niky pro uzávěry a pod.</t>
  </si>
  <si>
    <t>Přesuny sutí</t>
  </si>
  <si>
    <t>Odvoz suti a vybour. hmot na skládku do 1 km</t>
  </si>
  <si>
    <t>3,11*2,5   VIZ.POL. BOURÁNÍ ŽB.KONSTR.</t>
  </si>
  <si>
    <t>Příplatek k odvozu za každý další 1 km</t>
  </si>
  <si>
    <t>7,78*19   celkem 20km</t>
  </si>
  <si>
    <t>Vnitrostaveništní doprava suti do 10 m</t>
  </si>
  <si>
    <t>7,78   VIZ.ODVOZ SUTI</t>
  </si>
  <si>
    <t>Příplatek k vnitrost. dopravě suti za dalších 5 m</t>
  </si>
  <si>
    <t>7,78*5   VIZ.ODVOZ SUTI</t>
  </si>
  <si>
    <t>Uložení suti na skládku bez zhutnění</t>
  </si>
  <si>
    <t>Poplatek za skládku suti</t>
  </si>
  <si>
    <t>7,78   </t>
  </si>
  <si>
    <t>Doba výstavby:</t>
  </si>
  <si>
    <t>Začátek výstavby:</t>
  </si>
  <si>
    <t>Konec výstavby:</t>
  </si>
  <si>
    <t>Zpracováno dne:</t>
  </si>
  <si>
    <t>MJ</t>
  </si>
  <si>
    <t>hod</t>
  </si>
  <si>
    <t>kus</t>
  </si>
  <si>
    <t>m</t>
  </si>
  <si>
    <t>soub</t>
  </si>
  <si>
    <t>t</t>
  </si>
  <si>
    <t>armat</t>
  </si>
  <si>
    <t>soubor</t>
  </si>
  <si>
    <t>kg</t>
  </si>
  <si>
    <t>sada</t>
  </si>
  <si>
    <t>den</t>
  </si>
  <si>
    <t>Množství</t>
  </si>
  <si>
    <t>Cena/MJ</t>
  </si>
  <si>
    <t>(Kč)</t>
  </si>
  <si>
    <t>Objednatel:</t>
  </si>
  <si>
    <t>Projektant:</t>
  </si>
  <si>
    <t>Zhotovitel:</t>
  </si>
  <si>
    <t>Zpracoval:</t>
  </si>
  <si>
    <t>Náklady (Kč)</t>
  </si>
  <si>
    <t>Dodávka</t>
  </si>
  <si>
    <t>Celkem:</t>
  </si>
  <si>
    <t> </t>
  </si>
  <si>
    <t>Montáž</t>
  </si>
  <si>
    <t>Celkem</t>
  </si>
  <si>
    <t>Hmotnost (t)</t>
  </si>
  <si>
    <t>Jednot.</t>
  </si>
  <si>
    <t>Cenová</t>
  </si>
  <si>
    <t>soustava</t>
  </si>
  <si>
    <t>RTS II / 2019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</si>
  <si>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</si>
  <si>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</si>
  <si>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</si>
  <si>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</si>
  <si>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</si>
  <si>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</si>
  <si>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</si>
  <si>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</si>
  <si>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</si>
  <si>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721_</t>
  </si>
  <si>
    <t>722_</t>
  </si>
  <si>
    <t>725_</t>
  </si>
  <si>
    <t>767_</t>
  </si>
  <si>
    <t>94_</t>
  </si>
  <si>
    <t>97_</t>
  </si>
  <si>
    <t>S_</t>
  </si>
  <si>
    <t>72_</t>
  </si>
  <si>
    <t>76_</t>
  </si>
  <si>
    <t>9_</t>
  </si>
  <si>
    <t>_</t>
  </si>
  <si>
    <t>MAT</t>
  </si>
  <si>
    <t>WORK</t>
  </si>
  <si>
    <t>CELK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</si>
  <si>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</si>
  <si>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</si>
  <si>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</si>
  <si>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</si>
  <si>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</si>
  <si>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</si>
  <si>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</si>
  <si>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</si>
  <si>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</si>
  <si>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</si>
  <si>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</si>
  <si>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</si>
  <si>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</si>
  <si>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</si>
  <si>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</si>
  <si>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</si>
  <si>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</si>
  <si>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</si>
  <si>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</si>
  <si>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</si>
  <si>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</si>
  <si>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</si>
  <si>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</si>
  <si>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</si>
  <si>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</si>
  <si>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</si>
  <si>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</si>
  <si>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</si>
  <si>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</si>
  <si>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</si>
  <si>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</si>
  <si>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</si>
  <si>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</si>
  <si>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</si>
  <si>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</si>
  <si>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</si>
  <si>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</si>
  <si>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</si>
  <si>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</si>
  <si>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</si>
  <si>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</si>
  <si>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</si>
  <si>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</si>
  <si>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</si>
  <si>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</si>
  <si>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</si>
  <si>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</si>
  <si>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</si>
  <si>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</si>
  <si>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Krycí list</t>
  </si>
  <si>
    <t>Rekapitulace</t>
  </si>
  <si>
    <t>Soupis pracít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</si>
</sst>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sz val="10"/>
      <color indexed="59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indexed="8"/>
      <name val="Arial"/>
    </font>
    <font>
      <i/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0">
    <xf numFmtId="0" fontId="2" fillId="0" borderId="0" xfId="0" applyFont="1" applyAlignment="1">
      <alignment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left" vertical="center"/>
    </xf>
    <xf numFmtId="49" fontId="5" fillId="2" borderId="3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5" fillId="2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8" fillId="2" borderId="3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4" fillId="0" borderId="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9" fontId="4" fillId="0" borderId="8" xfId="0" applyNumberFormat="1" applyFont="1" applyFill="1" applyBorder="1" applyAlignment="1" applyProtection="1">
      <alignment horizontal="center" vertical="center"/>
    </xf>
    <xf numFmtId="49" fontId="4" fillId="0" borderId="9" xfId="0" applyNumberFormat="1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/>
    </xf>
    <xf numFmtId="49" fontId="4" fillId="0" borderId="11" xfId="0" applyNumberFormat="1" applyFont="1" applyFill="1" applyBorder="1" applyAlignment="1" applyProtection="1">
      <alignment horizontal="center" vertical="center"/>
    </xf>
    <xf numFmtId="49" fontId="4" fillId="0" borderId="12" xfId="0" applyNumberFormat="1" applyFont="1" applyFill="1" applyBorder="1" applyAlignment="1" applyProtection="1">
      <alignment horizontal="center" vertical="center"/>
    </xf>
    <xf numFmtId="49" fontId="8" fillId="2" borderId="3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4" fillId="0" borderId="13" xfId="0" applyNumberFormat="1" applyFont="1" applyFill="1" applyBorder="1" applyAlignment="1" applyProtection="1">
      <alignment horizontal="center" vertical="center"/>
    </xf>
    <xf numFmtId="49" fontId="4" fillId="0" borderId="14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15" xfId="0" applyNumberFormat="1" applyFont="1" applyFill="1" applyBorder="1" applyAlignment="1" applyProtection="1">
      <alignment vertical="center"/>
    </xf>
    <xf numFmtId="0" fontId="2" fillId="0" borderId="16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" fontId="8" fillId="2" borderId="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4" fillId="0" borderId="5" xfId="0" applyNumberFormat="1" applyFont="1" applyFill="1" applyBorder="1" applyAlignment="1" applyProtection="1">
      <alignment horizontal="right" vertical="center"/>
    </xf>
    <xf numFmtId="49" fontId="4" fillId="0" borderId="17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left" vertical="center"/>
    </xf>
    <xf numFmtId="49" fontId="4" fillId="0" borderId="18" xfId="0" applyNumberFormat="1" applyFont="1" applyFill="1" applyBorder="1" applyAlignment="1" applyProtection="1">
      <alignment horizontal="left" vertical="center"/>
    </xf>
    <xf numFmtId="49" fontId="4" fillId="0" borderId="19" xfId="0" applyNumberFormat="1" applyFont="1" applyFill="1" applyBorder="1" applyAlignment="1" applyProtection="1">
      <alignment horizontal="left" vertical="center"/>
    </xf>
    <xf numFmtId="49" fontId="4" fillId="0" borderId="19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4" fillId="0" borderId="17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12" fillId="3" borderId="20" xfId="0" applyNumberFormat="1" applyFont="1" applyFill="1" applyBorder="1" applyAlignment="1" applyProtection="1">
      <alignment horizontal="center" vertical="center"/>
    </xf>
    <xf numFmtId="49" fontId="13" fillId="0" borderId="21" xfId="0" applyNumberFormat="1" applyFont="1" applyFill="1" applyBorder="1" applyAlignment="1" applyProtection="1">
      <alignment horizontal="left" vertical="center"/>
    </xf>
    <xf numFmtId="49" fontId="13" fillId="0" borderId="2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vertical="center"/>
    </xf>
    <xf numFmtId="49" fontId="7" fillId="0" borderId="3" xfId="0" applyNumberFormat="1" applyFont="1" applyFill="1" applyBorder="1" applyAlignment="1" applyProtection="1">
      <alignment horizontal="left" vertical="center"/>
    </xf>
    <xf numFmtId="49" fontId="14" fillId="0" borderId="20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24" xfId="0" applyNumberFormat="1" applyFont="1" applyFill="1" applyBorder="1" applyAlignment="1" applyProtection="1">
      <alignment vertical="center"/>
    </xf>
    <xf numFmtId="0" fontId="2" fillId="0" borderId="25" xfId="0" applyNumberFormat="1" applyFont="1" applyFill="1" applyBorder="1" applyAlignment="1" applyProtection="1">
      <alignment vertical="center"/>
    </xf>
    <xf numFmtId="4" fontId="14" fillId="0" borderId="20" xfId="0" applyNumberFormat="1" applyFont="1" applyFill="1" applyBorder="1" applyAlignment="1" applyProtection="1">
      <alignment horizontal="right" vertical="center"/>
    </xf>
    <xf numFmtId="49" fontId="14" fillId="0" borderId="20" xfId="0" applyNumberFormat="1" applyFont="1" applyFill="1" applyBorder="1" applyAlignment="1" applyProtection="1">
      <alignment horizontal="right" vertical="center"/>
    </xf>
    <xf numFmtId="4" fontId="14" fillId="0" borderId="11" xfId="0" applyNumberFormat="1" applyFont="1" applyFill="1" applyBorder="1" applyAlignment="1" applyProtection="1">
      <alignment horizontal="right" vertical="center"/>
    </xf>
    <xf numFmtId="0" fontId="2" fillId="0" borderId="26" xfId="0" applyNumberFormat="1" applyFont="1" applyFill="1" applyBorder="1" applyAlignment="1" applyProtection="1">
      <alignment vertical="center"/>
    </xf>
    <xf numFmtId="0" fontId="2" fillId="0" borderId="27" xfId="0" applyNumberFormat="1" applyFont="1" applyFill="1" applyBorder="1" applyAlignment="1" applyProtection="1">
      <alignment vertical="center"/>
    </xf>
    <xf numFmtId="4" fontId="13" fillId="3" borderId="28" xfId="0" applyNumberFormat="1" applyFont="1" applyFill="1" applyBorder="1" applyAlignment="1" applyProtection="1">
      <alignment horizontal="right" vertical="center"/>
    </xf>
    <xf numFmtId="0" fontId="2" fillId="0" borderId="4" xfId="0" applyNumberFormat="1" applyFont="1" applyFill="1" applyBorder="1" applyAlignment="1" applyProtection="1"/>
    <xf numFmtId="0" fontId="16" fillId="0" borderId="0" xfId="1" applyNumberFormat="1" applyFont="1" applyFill="1" applyBorder="1" applyAlignment="1" applyProtection="1"/>
    <xf numFmtId="4" fontId="17" fillId="0" borderId="0" xfId="0" applyNumberFormat="1" applyFont="1" applyFill="1" applyBorder="1" applyAlignment="1" applyProtection="1">
      <alignment horizontal="right" vertical="center"/>
    </xf>
    <xf numFmtId="4" fontId="17" fillId="0" borderId="4" xfId="0" applyNumberFormat="1" applyFont="1" applyFill="1" applyBorder="1" applyAlignment="1" applyProtection="1">
      <alignment horizontal="right" vertical="center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9" fillId="0" borderId="0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17" fillId="0" borderId="0" xfId="0" applyNumberFormat="1" applyFont="1" applyFill="1" applyBorder="1" applyAlignment="1" applyProtection="1">
      <alignment horizontal="left" vertical="center" wrapText="1"/>
    </xf>
    <xf numFmtId="49" fontId="17" fillId="0" borderId="4" xfId="0" applyNumberFormat="1" applyFont="1" applyFill="1" applyBorder="1" applyAlignment="1" applyProtection="1">
      <alignment horizontal="left" vertical="center" wrapText="1"/>
    </xf>
    <xf numFmtId="49" fontId="4" fillId="0" borderId="33" xfId="0" applyNumberFormat="1" applyFont="1" applyFill="1" applyBorder="1" applyAlignment="1" applyProtection="1">
      <alignment horizontal="center" vertical="center"/>
    </xf>
    <xf numFmtId="0" fontId="4" fillId="0" borderId="34" xfId="0" applyNumberFormat="1" applyFont="1" applyFill="1" applyBorder="1" applyAlignment="1" applyProtection="1">
      <alignment horizontal="center" vertical="center"/>
    </xf>
    <xf numFmtId="0" fontId="4" fillId="0" borderId="35" xfId="0" applyNumberFormat="1" applyFont="1" applyFill="1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 wrapText="1"/>
    </xf>
    <xf numFmtId="0" fontId="2" fillId="0" borderId="30" xfId="0" applyNumberFormat="1" applyFont="1" applyFill="1" applyBorder="1" applyAlignment="1" applyProtection="1">
      <alignment horizontal="left" vertical="center"/>
    </xf>
    <xf numFmtId="0" fontId="2" fillId="0" borderId="31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left" vertical="center"/>
    </xf>
    <xf numFmtId="0" fontId="2" fillId="0" borderId="3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49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29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/>
    </xf>
    <xf numFmtId="49" fontId="14" fillId="0" borderId="16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41" xfId="0" applyNumberFormat="1" applyFont="1" applyFill="1" applyBorder="1" applyAlignment="1" applyProtection="1">
      <alignment horizontal="left" vertical="center"/>
    </xf>
    <xf numFmtId="49" fontId="14" fillId="0" borderId="42" xfId="0" applyNumberFormat="1" applyFont="1" applyFill="1" applyBorder="1" applyAlignment="1" applyProtection="1">
      <alignment horizontal="left" vertical="center"/>
    </xf>
    <xf numFmtId="0" fontId="14" fillId="0" borderId="31" xfId="0" applyNumberFormat="1" applyFont="1" applyFill="1" applyBorder="1" applyAlignment="1" applyProtection="1">
      <alignment horizontal="left" vertical="center"/>
    </xf>
    <xf numFmtId="0" fontId="14" fillId="0" borderId="43" xfId="0" applyNumberFormat="1" applyFont="1" applyFill="1" applyBorder="1" applyAlignment="1" applyProtection="1">
      <alignment horizontal="left" vertical="center"/>
    </xf>
    <xf numFmtId="49" fontId="13" fillId="3" borderId="38" xfId="0" applyNumberFormat="1" applyFont="1" applyFill="1" applyBorder="1" applyAlignment="1" applyProtection="1">
      <alignment horizontal="left" vertical="center"/>
    </xf>
    <xf numFmtId="0" fontId="13" fillId="3" borderId="37" xfId="0" applyNumberFormat="1" applyFont="1" applyFill="1" applyBorder="1" applyAlignment="1" applyProtection="1">
      <alignment horizontal="left" vertical="center"/>
    </xf>
    <xf numFmtId="49" fontId="14" fillId="0" borderId="39" xfId="0" applyNumberFormat="1" applyFont="1" applyFill="1" applyBorder="1" applyAlignment="1" applyProtection="1">
      <alignment horizontal="left" vertical="center"/>
    </xf>
    <xf numFmtId="0" fontId="14" fillId="0" borderId="3" xfId="0" applyNumberFormat="1" applyFont="1" applyFill="1" applyBorder="1" applyAlignment="1" applyProtection="1">
      <alignment horizontal="left" vertical="center"/>
    </xf>
    <xf numFmtId="0" fontId="14" fillId="0" borderId="40" xfId="0" applyNumberFormat="1" applyFont="1" applyFill="1" applyBorder="1" applyAlignment="1" applyProtection="1">
      <alignment horizontal="left" vertical="center"/>
    </xf>
    <xf numFmtId="49" fontId="13" fillId="0" borderId="38" xfId="0" applyNumberFormat="1" applyFont="1" applyFill="1" applyBorder="1" applyAlignment="1" applyProtection="1">
      <alignment horizontal="left" vertical="center"/>
    </xf>
    <xf numFmtId="0" fontId="13" fillId="0" borderId="28" xfId="0" applyNumberFormat="1" applyFont="1" applyFill="1" applyBorder="1" applyAlignment="1" applyProtection="1">
      <alignment horizontal="left" vertical="center"/>
    </xf>
    <xf numFmtId="49" fontId="14" fillId="0" borderId="38" xfId="0" applyNumberFormat="1" applyFont="1" applyFill="1" applyBorder="1" applyAlignment="1" applyProtection="1">
      <alignment horizontal="left" vertical="center"/>
    </xf>
    <xf numFmtId="0" fontId="14" fillId="0" borderId="28" xfId="0" applyNumberFormat="1" applyFont="1" applyFill="1" applyBorder="1" applyAlignment="1" applyProtection="1">
      <alignment horizontal="left" vertical="center"/>
    </xf>
    <xf numFmtId="49" fontId="11" fillId="0" borderId="37" xfId="0" applyNumberFormat="1" applyFont="1" applyFill="1" applyBorder="1" applyAlignment="1" applyProtection="1">
      <alignment horizontal="center" vertical="center"/>
    </xf>
    <xf numFmtId="0" fontId="11" fillId="0" borderId="37" xfId="0" applyNumberFormat="1" applyFont="1" applyFill="1" applyBorder="1" applyAlignment="1" applyProtection="1">
      <alignment horizontal="center" vertical="center"/>
    </xf>
    <xf numFmtId="49" fontId="15" fillId="0" borderId="38" xfId="0" applyNumberFormat="1" applyFont="1" applyFill="1" applyBorder="1" applyAlignment="1" applyProtection="1">
      <alignment horizontal="left" vertical="center"/>
    </xf>
    <xf numFmtId="0" fontId="15" fillId="0" borderId="28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left" vertical="center" wrapText="1"/>
    </xf>
    <xf numFmtId="0" fontId="2" fillId="0" borderId="36" xfId="0" applyNumberFormat="1" applyFont="1" applyFill="1" applyBorder="1" applyAlignment="1" applyProtection="1">
      <alignment horizontal="left" vertical="center"/>
    </xf>
    <xf numFmtId="49" fontId="2" fillId="0" borderId="27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2" fillId="0" borderId="24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250"/>
  <sheetViews>
    <sheetView view="pageBreakPreview" zoomScaleNormal="100" zoomScaleSheetLayoutView="100" workbookViewId="0">
      <pane ySplit="11" topLeftCell="A12" activePane="bottomLeft" state="frozenSplit"/>
      <selection pane="bottomLeft" activeCell="D2" sqref="D2:D3"/>
    </sheetView>
  </sheetViews>
  <sheetFormatPr defaultColWidth="11.5703125" defaultRowHeight="12.75"/>
  <cols>
    <col min="1" max="1" width="3.7109375" customWidth="1"/>
    <col min="2" max="2" width="7.5703125" customWidth="1"/>
    <col min="3" max="3" width="14.28515625" customWidth="1"/>
    <col min="4" max="4" width="95.28515625" customWidth="1"/>
    <col min="5" max="5" width="6.425781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25" max="62" width="12.140625" hidden="1" customWidth="1"/>
  </cols>
  <sheetData>
    <row r="1" spans="1:62" ht="72.95" customHeight="1">
      <c r="A1" s="85" t="s">
        <v>537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62">
      <c r="A2" s="87" t="s">
        <v>0</v>
      </c>
      <c r="B2" s="88"/>
      <c r="C2" s="88"/>
      <c r="D2" s="89" t="s">
        <v>218</v>
      </c>
      <c r="E2" s="91" t="s">
        <v>430</v>
      </c>
      <c r="F2" s="88"/>
      <c r="G2" s="91" t="s">
        <v>5</v>
      </c>
      <c r="H2" s="92" t="s">
        <v>448</v>
      </c>
      <c r="I2" s="91" t="s">
        <v>455</v>
      </c>
      <c r="J2" s="88"/>
      <c r="K2" s="88"/>
      <c r="L2" s="88"/>
      <c r="M2" s="93"/>
      <c r="N2" s="29"/>
    </row>
    <row r="3" spans="1:62">
      <c r="A3" s="84"/>
      <c r="B3" s="77"/>
      <c r="C3" s="77"/>
      <c r="D3" s="90"/>
      <c r="E3" s="77"/>
      <c r="F3" s="77"/>
      <c r="G3" s="77"/>
      <c r="H3" s="77"/>
      <c r="I3" s="77"/>
      <c r="J3" s="77"/>
      <c r="K3" s="77"/>
      <c r="L3" s="77"/>
      <c r="M3" s="82"/>
      <c r="N3" s="29"/>
    </row>
    <row r="4" spans="1:62">
      <c r="A4" s="78" t="s">
        <v>1</v>
      </c>
      <c r="B4" s="77"/>
      <c r="C4" s="77"/>
      <c r="D4" s="76" t="s">
        <v>219</v>
      </c>
      <c r="E4" s="81" t="s">
        <v>431</v>
      </c>
      <c r="F4" s="77"/>
      <c r="G4" s="81"/>
      <c r="H4" s="76" t="s">
        <v>449</v>
      </c>
      <c r="I4" s="81" t="s">
        <v>455</v>
      </c>
      <c r="J4" s="77"/>
      <c r="K4" s="77"/>
      <c r="L4" s="77"/>
      <c r="M4" s="82"/>
      <c r="N4" s="29"/>
    </row>
    <row r="5" spans="1:62">
      <c r="A5" s="84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82"/>
      <c r="N5" s="29"/>
    </row>
    <row r="6" spans="1:62">
      <c r="A6" s="78" t="s">
        <v>2</v>
      </c>
      <c r="B6" s="77"/>
      <c r="C6" s="77"/>
      <c r="D6" s="76" t="s">
        <v>220</v>
      </c>
      <c r="E6" s="81" t="s">
        <v>432</v>
      </c>
      <c r="F6" s="77"/>
      <c r="G6" s="81" t="s">
        <v>5</v>
      </c>
      <c r="H6" s="76" t="s">
        <v>450</v>
      </c>
      <c r="I6" s="81" t="s">
        <v>455</v>
      </c>
      <c r="J6" s="77"/>
      <c r="K6" s="77"/>
      <c r="L6" s="77"/>
      <c r="M6" s="82"/>
      <c r="N6" s="29"/>
    </row>
    <row r="7" spans="1:62">
      <c r="A7" s="84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82"/>
      <c r="N7" s="29"/>
    </row>
    <row r="8" spans="1:62">
      <c r="A8" s="78" t="s">
        <v>3</v>
      </c>
      <c r="B8" s="77"/>
      <c r="C8" s="77"/>
      <c r="D8" s="76" t="s">
        <v>5</v>
      </c>
      <c r="E8" s="81" t="s">
        <v>433</v>
      </c>
      <c r="F8" s="77"/>
      <c r="G8" s="81"/>
      <c r="H8" s="76" t="s">
        <v>451</v>
      </c>
      <c r="I8" s="81" t="s">
        <v>455</v>
      </c>
      <c r="J8" s="77"/>
      <c r="K8" s="77"/>
      <c r="L8" s="77"/>
      <c r="M8" s="82"/>
      <c r="N8" s="29"/>
    </row>
    <row r="9" spans="1:62">
      <c r="A9" s="79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3"/>
      <c r="N9" s="29"/>
    </row>
    <row r="10" spans="1:62">
      <c r="A10" s="1" t="s">
        <v>4</v>
      </c>
      <c r="B10" s="9" t="s">
        <v>109</v>
      </c>
      <c r="C10" s="9" t="s">
        <v>110</v>
      </c>
      <c r="D10" s="9" t="s">
        <v>221</v>
      </c>
      <c r="E10" s="9" t="s">
        <v>434</v>
      </c>
      <c r="F10" s="16" t="s">
        <v>445</v>
      </c>
      <c r="G10" s="19" t="s">
        <v>446</v>
      </c>
      <c r="H10" s="71" t="s">
        <v>452</v>
      </c>
      <c r="I10" s="72"/>
      <c r="J10" s="73"/>
      <c r="K10" s="71" t="s">
        <v>458</v>
      </c>
      <c r="L10" s="73"/>
      <c r="M10" s="26" t="s">
        <v>460</v>
      </c>
      <c r="N10" s="30"/>
    </row>
    <row r="11" spans="1:62">
      <c r="A11" s="2" t="s">
        <v>5</v>
      </c>
      <c r="B11" s="10" t="s">
        <v>5</v>
      </c>
      <c r="C11" s="10" t="s">
        <v>5</v>
      </c>
      <c r="D11" s="13" t="s">
        <v>222</v>
      </c>
      <c r="E11" s="10" t="s">
        <v>5</v>
      </c>
      <c r="F11" s="10" t="s">
        <v>5</v>
      </c>
      <c r="G11" s="20" t="s">
        <v>447</v>
      </c>
      <c r="H11" s="21" t="s">
        <v>453</v>
      </c>
      <c r="I11" s="22" t="s">
        <v>456</v>
      </c>
      <c r="J11" s="23" t="s">
        <v>457</v>
      </c>
      <c r="K11" s="21" t="s">
        <v>459</v>
      </c>
      <c r="L11" s="23" t="s">
        <v>457</v>
      </c>
      <c r="M11" s="27" t="s">
        <v>461</v>
      </c>
      <c r="N11" s="30"/>
      <c r="Z11" s="25" t="s">
        <v>463</v>
      </c>
      <c r="AA11" s="25" t="s">
        <v>464</v>
      </c>
      <c r="AB11" s="25" t="s">
        <v>465</v>
      </c>
      <c r="AC11" s="25" t="s">
        <v>466</v>
      </c>
      <c r="AD11" s="25" t="s">
        <v>467</v>
      </c>
      <c r="AE11" s="25" t="s">
        <v>468</v>
      </c>
      <c r="AF11" s="25" t="s">
        <v>469</v>
      </c>
      <c r="AG11" s="25" t="s">
        <v>470</v>
      </c>
      <c r="AH11" s="25" t="s">
        <v>471</v>
      </c>
      <c r="BH11" s="25" t="s">
        <v>483</v>
      </c>
      <c r="BI11" s="25" t="s">
        <v>484</v>
      </c>
      <c r="BJ11" s="25" t="s">
        <v>485</v>
      </c>
    </row>
    <row r="12" spans="1:62">
      <c r="A12" s="3"/>
      <c r="B12" s="11"/>
      <c r="C12" s="11" t="s">
        <v>111</v>
      </c>
      <c r="D12" s="64" t="s">
        <v>223</v>
      </c>
      <c r="E12" s="3" t="s">
        <v>5</v>
      </c>
      <c r="F12" s="3" t="s">
        <v>5</v>
      </c>
      <c r="G12" s="3" t="s">
        <v>5</v>
      </c>
      <c r="H12" s="33">
        <f>SUM(H13:H79)</f>
        <v>0</v>
      </c>
      <c r="I12" s="33">
        <f>SUM(I13:I79)</f>
        <v>0</v>
      </c>
      <c r="J12" s="33">
        <f>SUM(J13:J79)</f>
        <v>0</v>
      </c>
      <c r="K12" s="24"/>
      <c r="L12" s="33">
        <f>SUM(L13:L79)</f>
        <v>7.1687900000000013</v>
      </c>
      <c r="M12" s="24"/>
      <c r="AI12" s="25"/>
      <c r="AS12" s="34">
        <f>SUM(AJ13:AJ79)</f>
        <v>0</v>
      </c>
      <c r="AT12" s="34">
        <f>SUM(AK13:AK79)</f>
        <v>0</v>
      </c>
      <c r="AU12" s="34">
        <f>SUM(AL13:AL79)</f>
        <v>0</v>
      </c>
    </row>
    <row r="13" spans="1:62">
      <c r="A13" s="4" t="s">
        <v>6</v>
      </c>
      <c r="B13" s="4"/>
      <c r="C13" s="4" t="s">
        <v>112</v>
      </c>
      <c r="D13" s="65" t="s">
        <v>224</v>
      </c>
      <c r="E13" s="4" t="s">
        <v>435</v>
      </c>
      <c r="F13" s="17">
        <v>120</v>
      </c>
      <c r="G13" s="17">
        <v>0</v>
      </c>
      <c r="H13" s="17">
        <f>F13*AO13</f>
        <v>0</v>
      </c>
      <c r="I13" s="17">
        <f>F13*AP13</f>
        <v>0</v>
      </c>
      <c r="J13" s="17">
        <f>F13*G13</f>
        <v>0</v>
      </c>
      <c r="K13" s="17">
        <v>0</v>
      </c>
      <c r="L13" s="17">
        <f>F13*K13</f>
        <v>0</v>
      </c>
      <c r="M13" s="28"/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25"/>
      <c r="AJ13" s="17">
        <f>IF(AN13=0,J13,0)</f>
        <v>0</v>
      </c>
      <c r="AK13" s="17">
        <f>IF(AN13=15,J13,0)</f>
        <v>0</v>
      </c>
      <c r="AL13" s="17">
        <f>IF(AN13=21,J13,0)</f>
        <v>0</v>
      </c>
      <c r="AN13" s="31">
        <v>21</v>
      </c>
      <c r="AO13" s="31">
        <f>G13*0</f>
        <v>0</v>
      </c>
      <c r="AP13" s="31">
        <f>G13*(1-0)</f>
        <v>0</v>
      </c>
      <c r="AQ13" s="28" t="s">
        <v>12</v>
      </c>
      <c r="AV13" s="31">
        <f>AW13+AX13</f>
        <v>0</v>
      </c>
      <c r="AW13" s="31">
        <f>F13*AO13</f>
        <v>0</v>
      </c>
      <c r="AX13" s="31">
        <f>F13*AP13</f>
        <v>0</v>
      </c>
      <c r="AY13" s="32" t="s">
        <v>472</v>
      </c>
      <c r="AZ13" s="32" t="s">
        <v>479</v>
      </c>
      <c r="BA13" s="25" t="s">
        <v>482</v>
      </c>
      <c r="BC13" s="31">
        <f>AW13+AX13</f>
        <v>0</v>
      </c>
      <c r="BD13" s="31">
        <f>G13/(100-BE13)*100</f>
        <v>0</v>
      </c>
      <c r="BE13" s="31">
        <v>0</v>
      </c>
      <c r="BF13" s="31">
        <f>L13</f>
        <v>0</v>
      </c>
      <c r="BH13" s="17">
        <f>F13*AO13</f>
        <v>0</v>
      </c>
      <c r="BI13" s="17">
        <f>F13*AP13</f>
        <v>0</v>
      </c>
      <c r="BJ13" s="17">
        <f>F13*G13</f>
        <v>0</v>
      </c>
    </row>
    <row r="14" spans="1:62">
      <c r="D14" s="66" t="s">
        <v>225</v>
      </c>
      <c r="F14" s="18">
        <v>120</v>
      </c>
    </row>
    <row r="15" spans="1:62">
      <c r="A15" s="4" t="s">
        <v>7</v>
      </c>
      <c r="B15" s="4"/>
      <c r="C15" s="4" t="s">
        <v>113</v>
      </c>
      <c r="D15" s="65" t="s">
        <v>226</v>
      </c>
      <c r="E15" s="4" t="s">
        <v>435</v>
      </c>
      <c r="F15" s="17">
        <v>3</v>
      </c>
      <c r="G15" s="17">
        <v>0</v>
      </c>
      <c r="H15" s="17">
        <f>F15*AO15</f>
        <v>0</v>
      </c>
      <c r="I15" s="17">
        <f>F15*AP15</f>
        <v>0</v>
      </c>
      <c r="J15" s="17">
        <f>F15*G15</f>
        <v>0</v>
      </c>
      <c r="K15" s="17">
        <v>1E-4</v>
      </c>
      <c r="L15" s="17">
        <f>F15*K15</f>
        <v>3.0000000000000003E-4</v>
      </c>
      <c r="M15" s="28"/>
      <c r="Z15" s="31">
        <f>IF(AQ15="5",BJ15,0)</f>
        <v>0</v>
      </c>
      <c r="AB15" s="31">
        <f>IF(AQ15="1",BH15,0)</f>
        <v>0</v>
      </c>
      <c r="AC15" s="31">
        <f>IF(AQ15="1",BI15,0)</f>
        <v>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25"/>
      <c r="AJ15" s="17">
        <f>IF(AN15=0,J15,0)</f>
        <v>0</v>
      </c>
      <c r="AK15" s="17">
        <f>IF(AN15=15,J15,0)</f>
        <v>0</v>
      </c>
      <c r="AL15" s="17">
        <f>IF(AN15=21,J15,0)</f>
        <v>0</v>
      </c>
      <c r="AN15" s="31">
        <v>21</v>
      </c>
      <c r="AO15" s="31">
        <f>G15*0</f>
        <v>0</v>
      </c>
      <c r="AP15" s="31">
        <f>G15*(1-0)</f>
        <v>0</v>
      </c>
      <c r="AQ15" s="28" t="s">
        <v>12</v>
      </c>
      <c r="AV15" s="31">
        <f>AW15+AX15</f>
        <v>0</v>
      </c>
      <c r="AW15" s="31">
        <f>F15*AO15</f>
        <v>0</v>
      </c>
      <c r="AX15" s="31">
        <f>F15*AP15</f>
        <v>0</v>
      </c>
      <c r="AY15" s="32" t="s">
        <v>472</v>
      </c>
      <c r="AZ15" s="32" t="s">
        <v>479</v>
      </c>
      <c r="BA15" s="25" t="s">
        <v>482</v>
      </c>
      <c r="BC15" s="31">
        <f>AW15+AX15</f>
        <v>0</v>
      </c>
      <c r="BD15" s="31">
        <f>G15/(100-BE15)*100</f>
        <v>0</v>
      </c>
      <c r="BE15" s="31">
        <v>0</v>
      </c>
      <c r="BF15" s="31">
        <f>L15</f>
        <v>3.0000000000000003E-4</v>
      </c>
      <c r="BH15" s="17">
        <f>F15*AO15</f>
        <v>0</v>
      </c>
      <c r="BI15" s="17">
        <f>F15*AP15</f>
        <v>0</v>
      </c>
      <c r="BJ15" s="17">
        <f>F15*G15</f>
        <v>0</v>
      </c>
    </row>
    <row r="16" spans="1:62">
      <c r="D16" s="66" t="s">
        <v>227</v>
      </c>
      <c r="F16" s="18">
        <v>3</v>
      </c>
    </row>
    <row r="17" spans="1:62">
      <c r="A17" s="4" t="s">
        <v>8</v>
      </c>
      <c r="B17" s="4"/>
      <c r="C17" s="4" t="s">
        <v>114</v>
      </c>
      <c r="D17" s="65" t="s">
        <v>228</v>
      </c>
      <c r="E17" s="4" t="s">
        <v>436</v>
      </c>
      <c r="F17" s="17">
        <v>9</v>
      </c>
      <c r="G17" s="17">
        <v>0</v>
      </c>
      <c r="H17" s="17">
        <f>F17*AO17</f>
        <v>0</v>
      </c>
      <c r="I17" s="17">
        <f>F17*AP17</f>
        <v>0</v>
      </c>
      <c r="J17" s="17">
        <f>F17*G17</f>
        <v>0</v>
      </c>
      <c r="K17" s="17">
        <v>0</v>
      </c>
      <c r="L17" s="17">
        <f>F17*K17</f>
        <v>0</v>
      </c>
      <c r="M17" s="28" t="s">
        <v>462</v>
      </c>
      <c r="Z17" s="31">
        <f>IF(AQ17="5",BJ17,0)</f>
        <v>0</v>
      </c>
      <c r="AB17" s="31">
        <f>IF(AQ17="1",BH17,0)</f>
        <v>0</v>
      </c>
      <c r="AC17" s="31">
        <f>IF(AQ17="1",BI17,0)</f>
        <v>0</v>
      </c>
      <c r="AD17" s="31">
        <f>IF(AQ17="7",BH17,0)</f>
        <v>0</v>
      </c>
      <c r="AE17" s="31">
        <f>IF(AQ17="7",BI17,0)</f>
        <v>0</v>
      </c>
      <c r="AF17" s="31">
        <f>IF(AQ17="2",BH17,0)</f>
        <v>0</v>
      </c>
      <c r="AG17" s="31">
        <f>IF(AQ17="2",BI17,0)</f>
        <v>0</v>
      </c>
      <c r="AH17" s="31">
        <f>IF(AQ17="0",BJ17,0)</f>
        <v>0</v>
      </c>
      <c r="AI17" s="25"/>
      <c r="AJ17" s="17">
        <f>IF(AN17=0,J17,0)</f>
        <v>0</v>
      </c>
      <c r="AK17" s="17">
        <f>IF(AN17=15,J17,0)</f>
        <v>0</v>
      </c>
      <c r="AL17" s="17">
        <f>IF(AN17=21,J17,0)</f>
        <v>0</v>
      </c>
      <c r="AN17" s="31">
        <v>21</v>
      </c>
      <c r="AO17" s="31">
        <f>G17*0.307083333333333</f>
        <v>0</v>
      </c>
      <c r="AP17" s="31">
        <f>G17*(1-0.307083333333333)</f>
        <v>0</v>
      </c>
      <c r="AQ17" s="28" t="s">
        <v>12</v>
      </c>
      <c r="AV17" s="31">
        <f>AW17+AX17</f>
        <v>0</v>
      </c>
      <c r="AW17" s="31">
        <f>F17*AO17</f>
        <v>0</v>
      </c>
      <c r="AX17" s="31">
        <f>F17*AP17</f>
        <v>0</v>
      </c>
      <c r="AY17" s="32" t="s">
        <v>472</v>
      </c>
      <c r="AZ17" s="32" t="s">
        <v>479</v>
      </c>
      <c r="BA17" s="25" t="s">
        <v>482</v>
      </c>
      <c r="BC17" s="31">
        <f>AW17+AX17</f>
        <v>0</v>
      </c>
      <c r="BD17" s="31">
        <f>G17/(100-BE17)*100</f>
        <v>0</v>
      </c>
      <c r="BE17" s="31">
        <v>0</v>
      </c>
      <c r="BF17" s="31">
        <f>L17</f>
        <v>0</v>
      </c>
      <c r="BH17" s="17">
        <f>F17*AO17</f>
        <v>0</v>
      </c>
      <c r="BI17" s="17">
        <f>F17*AP17</f>
        <v>0</v>
      </c>
      <c r="BJ17" s="17">
        <f>F17*G17</f>
        <v>0</v>
      </c>
    </row>
    <row r="18" spans="1:62">
      <c r="D18" s="66" t="s">
        <v>229</v>
      </c>
      <c r="F18" s="18">
        <v>9</v>
      </c>
    </row>
    <row r="19" spans="1:62">
      <c r="A19" s="4" t="s">
        <v>9</v>
      </c>
      <c r="B19" s="4"/>
      <c r="C19" s="4" t="s">
        <v>115</v>
      </c>
      <c r="D19" s="65" t="s">
        <v>230</v>
      </c>
      <c r="E19" s="4" t="s">
        <v>436</v>
      </c>
      <c r="F19" s="17">
        <v>7</v>
      </c>
      <c r="G19" s="17">
        <v>0</v>
      </c>
      <c r="H19" s="17">
        <f>F19*AO19</f>
        <v>0</v>
      </c>
      <c r="I19" s="17">
        <f>F19*AP19</f>
        <v>0</v>
      </c>
      <c r="J19" s="17">
        <f>F19*G19</f>
        <v>0</v>
      </c>
      <c r="K19" s="17">
        <v>0</v>
      </c>
      <c r="L19" s="17">
        <f>F19*K19</f>
        <v>0</v>
      </c>
      <c r="M19" s="28" t="s">
        <v>462</v>
      </c>
      <c r="Z19" s="31">
        <f>IF(AQ19="5",BJ19,0)</f>
        <v>0</v>
      </c>
      <c r="AB19" s="31">
        <f>IF(AQ19="1",BH19,0)</f>
        <v>0</v>
      </c>
      <c r="AC19" s="31">
        <f>IF(AQ19="1",BI19,0)</f>
        <v>0</v>
      </c>
      <c r="AD19" s="31">
        <f>IF(AQ19="7",BH19,0)</f>
        <v>0</v>
      </c>
      <c r="AE19" s="31">
        <f>IF(AQ19="7",BI19,0)</f>
        <v>0</v>
      </c>
      <c r="AF19" s="31">
        <f>IF(AQ19="2",BH19,0)</f>
        <v>0</v>
      </c>
      <c r="AG19" s="31">
        <f>IF(AQ19="2",BI19,0)</f>
        <v>0</v>
      </c>
      <c r="AH19" s="31">
        <f>IF(AQ19="0",BJ19,0)</f>
        <v>0</v>
      </c>
      <c r="AI19" s="25"/>
      <c r="AJ19" s="17">
        <f>IF(AN19=0,J19,0)</f>
        <v>0</v>
      </c>
      <c r="AK19" s="17">
        <f>IF(AN19=15,J19,0)</f>
        <v>0</v>
      </c>
      <c r="AL19" s="17">
        <f>IF(AN19=21,J19,0)</f>
        <v>0</v>
      </c>
      <c r="AN19" s="31">
        <v>21</v>
      </c>
      <c r="AO19" s="31">
        <f>G19*0.28219791524834</f>
        <v>0</v>
      </c>
      <c r="AP19" s="31">
        <f>G19*(1-0.28219791524834)</f>
        <v>0</v>
      </c>
      <c r="AQ19" s="28" t="s">
        <v>12</v>
      </c>
      <c r="AV19" s="31">
        <f>AW19+AX19</f>
        <v>0</v>
      </c>
      <c r="AW19" s="31">
        <f>F19*AO19</f>
        <v>0</v>
      </c>
      <c r="AX19" s="31">
        <f>F19*AP19</f>
        <v>0</v>
      </c>
      <c r="AY19" s="32" t="s">
        <v>472</v>
      </c>
      <c r="AZ19" s="32" t="s">
        <v>479</v>
      </c>
      <c r="BA19" s="25" t="s">
        <v>482</v>
      </c>
      <c r="BC19" s="31">
        <f>AW19+AX19</f>
        <v>0</v>
      </c>
      <c r="BD19" s="31">
        <f>G19/(100-BE19)*100</f>
        <v>0</v>
      </c>
      <c r="BE19" s="31">
        <v>0</v>
      </c>
      <c r="BF19" s="31">
        <f>L19</f>
        <v>0</v>
      </c>
      <c r="BH19" s="17">
        <f>F19*AO19</f>
        <v>0</v>
      </c>
      <c r="BI19" s="17">
        <f>F19*AP19</f>
        <v>0</v>
      </c>
      <c r="BJ19" s="17">
        <f>F19*G19</f>
        <v>0</v>
      </c>
    </row>
    <row r="20" spans="1:62">
      <c r="D20" s="66" t="s">
        <v>231</v>
      </c>
      <c r="F20" s="18">
        <v>7</v>
      </c>
    </row>
    <row r="21" spans="1:62">
      <c r="A21" s="4" t="s">
        <v>10</v>
      </c>
      <c r="B21" s="4"/>
      <c r="C21" s="4" t="s">
        <v>116</v>
      </c>
      <c r="D21" s="65" t="s">
        <v>232</v>
      </c>
      <c r="E21" s="4" t="s">
        <v>436</v>
      </c>
      <c r="F21" s="17">
        <v>9</v>
      </c>
      <c r="G21" s="17">
        <v>0</v>
      </c>
      <c r="H21" s="17">
        <f>F21*AO21</f>
        <v>0</v>
      </c>
      <c r="I21" s="17">
        <f>F21*AP21</f>
        <v>0</v>
      </c>
      <c r="J21" s="17">
        <f>F21*G21</f>
        <v>0</v>
      </c>
      <c r="K21" s="17">
        <v>0</v>
      </c>
      <c r="L21" s="17">
        <f>F21*K21</f>
        <v>0</v>
      </c>
      <c r="M21" s="28" t="s">
        <v>462</v>
      </c>
      <c r="Z21" s="31">
        <f>IF(AQ21="5",BJ21,0)</f>
        <v>0</v>
      </c>
      <c r="AB21" s="31">
        <f>IF(AQ21="1",BH21,0)</f>
        <v>0</v>
      </c>
      <c r="AC21" s="31">
        <f>IF(AQ21="1",BI21,0)</f>
        <v>0</v>
      </c>
      <c r="AD21" s="31">
        <f>IF(AQ21="7",BH21,0)</f>
        <v>0</v>
      </c>
      <c r="AE21" s="31">
        <f>IF(AQ21="7",BI21,0)</f>
        <v>0</v>
      </c>
      <c r="AF21" s="31">
        <f>IF(AQ21="2",BH21,0)</f>
        <v>0</v>
      </c>
      <c r="AG21" s="31">
        <f>IF(AQ21="2",BI21,0)</f>
        <v>0</v>
      </c>
      <c r="AH21" s="31">
        <f>IF(AQ21="0",BJ21,0)</f>
        <v>0</v>
      </c>
      <c r="AI21" s="25"/>
      <c r="AJ21" s="17">
        <f>IF(AN21=0,J21,0)</f>
        <v>0</v>
      </c>
      <c r="AK21" s="17">
        <f>IF(AN21=15,J21,0)</f>
        <v>0</v>
      </c>
      <c r="AL21" s="17">
        <f>IF(AN21=21,J21,0)</f>
        <v>0</v>
      </c>
      <c r="AN21" s="31">
        <v>21</v>
      </c>
      <c r="AO21" s="31">
        <f>G21*0</f>
        <v>0</v>
      </c>
      <c r="AP21" s="31">
        <f>G21*(1-0)</f>
        <v>0</v>
      </c>
      <c r="AQ21" s="28" t="s">
        <v>12</v>
      </c>
      <c r="AV21" s="31">
        <f>AW21+AX21</f>
        <v>0</v>
      </c>
      <c r="AW21" s="31">
        <f>F21*AO21</f>
        <v>0</v>
      </c>
      <c r="AX21" s="31">
        <f>F21*AP21</f>
        <v>0</v>
      </c>
      <c r="AY21" s="32" t="s">
        <v>472</v>
      </c>
      <c r="AZ21" s="32" t="s">
        <v>479</v>
      </c>
      <c r="BA21" s="25" t="s">
        <v>482</v>
      </c>
      <c r="BC21" s="31">
        <f>AW21+AX21</f>
        <v>0</v>
      </c>
      <c r="BD21" s="31">
        <f>G21/(100-BE21)*100</f>
        <v>0</v>
      </c>
      <c r="BE21" s="31">
        <v>0</v>
      </c>
      <c r="BF21" s="31">
        <f>L21</f>
        <v>0</v>
      </c>
      <c r="BH21" s="17">
        <f>F21*AO21</f>
        <v>0</v>
      </c>
      <c r="BI21" s="17">
        <f>F21*AP21</f>
        <v>0</v>
      </c>
      <c r="BJ21" s="17">
        <f>F21*G21</f>
        <v>0</v>
      </c>
    </row>
    <row r="22" spans="1:62">
      <c r="D22" s="66" t="s">
        <v>229</v>
      </c>
      <c r="F22" s="18">
        <v>9</v>
      </c>
    </row>
    <row r="23" spans="1:62">
      <c r="A23" s="4" t="s">
        <v>11</v>
      </c>
      <c r="B23" s="4"/>
      <c r="C23" s="4" t="s">
        <v>117</v>
      </c>
      <c r="D23" s="65" t="s">
        <v>233</v>
      </c>
      <c r="E23" s="4" t="s">
        <v>436</v>
      </c>
      <c r="F23" s="17">
        <v>7</v>
      </c>
      <c r="G23" s="17">
        <v>0</v>
      </c>
      <c r="H23" s="17">
        <f>F23*AO23</f>
        <v>0</v>
      </c>
      <c r="I23" s="17">
        <f>F23*AP23</f>
        <v>0</v>
      </c>
      <c r="J23" s="17">
        <f>F23*G23</f>
        <v>0</v>
      </c>
      <c r="K23" s="17">
        <v>0</v>
      </c>
      <c r="L23" s="17">
        <f>F23*K23</f>
        <v>0</v>
      </c>
      <c r="M23" s="28" t="s">
        <v>462</v>
      </c>
      <c r="Z23" s="31">
        <f>IF(AQ23="5",BJ23,0)</f>
        <v>0</v>
      </c>
      <c r="AB23" s="31">
        <f>IF(AQ23="1",BH23,0)</f>
        <v>0</v>
      </c>
      <c r="AC23" s="31">
        <f>IF(AQ23="1",BI23,0)</f>
        <v>0</v>
      </c>
      <c r="AD23" s="31">
        <f>IF(AQ23="7",BH23,0)</f>
        <v>0</v>
      </c>
      <c r="AE23" s="31">
        <f>IF(AQ23="7",BI23,0)</f>
        <v>0</v>
      </c>
      <c r="AF23" s="31">
        <f>IF(AQ23="2",BH23,0)</f>
        <v>0</v>
      </c>
      <c r="AG23" s="31">
        <f>IF(AQ23="2",BI23,0)</f>
        <v>0</v>
      </c>
      <c r="AH23" s="31">
        <f>IF(AQ23="0",BJ23,0)</f>
        <v>0</v>
      </c>
      <c r="AI23" s="25"/>
      <c r="AJ23" s="17">
        <f>IF(AN23=0,J23,0)</f>
        <v>0</v>
      </c>
      <c r="AK23" s="17">
        <f>IF(AN23=15,J23,0)</f>
        <v>0</v>
      </c>
      <c r="AL23" s="17">
        <f>IF(AN23=21,J23,0)</f>
        <v>0</v>
      </c>
      <c r="AN23" s="31">
        <v>21</v>
      </c>
      <c r="AO23" s="31">
        <f>G23*0</f>
        <v>0</v>
      </c>
      <c r="AP23" s="31">
        <f>G23*(1-0)</f>
        <v>0</v>
      </c>
      <c r="AQ23" s="28" t="s">
        <v>12</v>
      </c>
      <c r="AV23" s="31">
        <f>AW23+AX23</f>
        <v>0</v>
      </c>
      <c r="AW23" s="31">
        <f>F23*AO23</f>
        <v>0</v>
      </c>
      <c r="AX23" s="31">
        <f>F23*AP23</f>
        <v>0</v>
      </c>
      <c r="AY23" s="32" t="s">
        <v>472</v>
      </c>
      <c r="AZ23" s="32" t="s">
        <v>479</v>
      </c>
      <c r="BA23" s="25" t="s">
        <v>482</v>
      </c>
      <c r="BC23" s="31">
        <f>AW23+AX23</f>
        <v>0</v>
      </c>
      <c r="BD23" s="31">
        <f>G23/(100-BE23)*100</f>
        <v>0</v>
      </c>
      <c r="BE23" s="31">
        <v>0</v>
      </c>
      <c r="BF23" s="31">
        <f>L23</f>
        <v>0</v>
      </c>
      <c r="BH23" s="17">
        <f>F23*AO23</f>
        <v>0</v>
      </c>
      <c r="BI23" s="17">
        <f>F23*AP23</f>
        <v>0</v>
      </c>
      <c r="BJ23" s="17">
        <f>F23*G23</f>
        <v>0</v>
      </c>
    </row>
    <row r="24" spans="1:62">
      <c r="D24" s="66" t="s">
        <v>231</v>
      </c>
      <c r="F24" s="18">
        <v>7</v>
      </c>
    </row>
    <row r="25" spans="1:62">
      <c r="A25" s="4" t="s">
        <v>12</v>
      </c>
      <c r="B25" s="4"/>
      <c r="C25" s="4" t="s">
        <v>118</v>
      </c>
      <c r="D25" s="65" t="s">
        <v>234</v>
      </c>
      <c r="E25" s="4" t="s">
        <v>436</v>
      </c>
      <c r="F25" s="17">
        <v>14</v>
      </c>
      <c r="G25" s="17">
        <v>0</v>
      </c>
      <c r="H25" s="17">
        <f>F25*AO25</f>
        <v>0</v>
      </c>
      <c r="I25" s="17">
        <f>F25*AP25</f>
        <v>0</v>
      </c>
      <c r="J25" s="17">
        <f>F25*G25</f>
        <v>0</v>
      </c>
      <c r="K25" s="17">
        <v>6.7499999999999999E-3</v>
      </c>
      <c r="L25" s="17">
        <f>F25*K25</f>
        <v>9.4500000000000001E-2</v>
      </c>
      <c r="M25" s="28" t="s">
        <v>462</v>
      </c>
      <c r="Z25" s="31">
        <f>IF(AQ25="5",BJ25,0)</f>
        <v>0</v>
      </c>
      <c r="AB25" s="31">
        <f>IF(AQ25="1",BH25,0)</f>
        <v>0</v>
      </c>
      <c r="AC25" s="31">
        <f>IF(AQ25="1",BI25,0)</f>
        <v>0</v>
      </c>
      <c r="AD25" s="31">
        <f>IF(AQ25="7",BH25,0)</f>
        <v>0</v>
      </c>
      <c r="AE25" s="31">
        <f>IF(AQ25="7",BI25,0)</f>
        <v>0</v>
      </c>
      <c r="AF25" s="31">
        <f>IF(AQ25="2",BH25,0)</f>
        <v>0</v>
      </c>
      <c r="AG25" s="31">
        <f>IF(AQ25="2",BI25,0)</f>
        <v>0</v>
      </c>
      <c r="AH25" s="31">
        <f>IF(AQ25="0",BJ25,0)</f>
        <v>0</v>
      </c>
      <c r="AI25" s="25"/>
      <c r="AJ25" s="17">
        <f>IF(AN25=0,J25,0)</f>
        <v>0</v>
      </c>
      <c r="AK25" s="17">
        <f>IF(AN25=15,J25,0)</f>
        <v>0</v>
      </c>
      <c r="AL25" s="17">
        <f>IF(AN25=21,J25,0)</f>
        <v>0</v>
      </c>
      <c r="AN25" s="31">
        <v>21</v>
      </c>
      <c r="AO25" s="31">
        <f>G25*0.217066014669927</f>
        <v>0</v>
      </c>
      <c r="AP25" s="31">
        <f>G25*(1-0.217066014669927)</f>
        <v>0</v>
      </c>
      <c r="AQ25" s="28" t="s">
        <v>12</v>
      </c>
      <c r="AV25" s="31">
        <f>AW25+AX25</f>
        <v>0</v>
      </c>
      <c r="AW25" s="31">
        <f>F25*AO25</f>
        <v>0</v>
      </c>
      <c r="AX25" s="31">
        <f>F25*AP25</f>
        <v>0</v>
      </c>
      <c r="AY25" s="32" t="s">
        <v>472</v>
      </c>
      <c r="AZ25" s="32" t="s">
        <v>479</v>
      </c>
      <c r="BA25" s="25" t="s">
        <v>482</v>
      </c>
      <c r="BC25" s="31">
        <f>AW25+AX25</f>
        <v>0</v>
      </c>
      <c r="BD25" s="31">
        <f>G25/(100-BE25)*100</f>
        <v>0</v>
      </c>
      <c r="BE25" s="31">
        <v>0</v>
      </c>
      <c r="BF25" s="31">
        <f>L25</f>
        <v>9.4500000000000001E-2</v>
      </c>
      <c r="BH25" s="17">
        <f>F25*AO25</f>
        <v>0</v>
      </c>
      <c r="BI25" s="17">
        <f>F25*AP25</f>
        <v>0</v>
      </c>
      <c r="BJ25" s="17">
        <f>F25*G25</f>
        <v>0</v>
      </c>
    </row>
    <row r="26" spans="1:62">
      <c r="D26" s="66" t="s">
        <v>235</v>
      </c>
      <c r="F26" s="18">
        <v>14</v>
      </c>
    </row>
    <row r="27" spans="1:62">
      <c r="A27" s="4" t="s">
        <v>13</v>
      </c>
      <c r="B27" s="4"/>
      <c r="C27" s="4" t="s">
        <v>119</v>
      </c>
      <c r="D27" s="65" t="s">
        <v>236</v>
      </c>
      <c r="E27" s="4" t="s">
        <v>436</v>
      </c>
      <c r="F27" s="17">
        <v>14</v>
      </c>
      <c r="G27" s="17">
        <v>0</v>
      </c>
      <c r="H27" s="17">
        <f>F27*AO27</f>
        <v>0</v>
      </c>
      <c r="I27" s="17">
        <f>F27*AP27</f>
        <v>0</v>
      </c>
      <c r="J27" s="17">
        <f>F27*G27</f>
        <v>0</v>
      </c>
      <c r="K27" s="17">
        <v>0</v>
      </c>
      <c r="L27" s="17">
        <f>F27*K27</f>
        <v>0</v>
      </c>
      <c r="M27" s="28" t="s">
        <v>462</v>
      </c>
      <c r="Z27" s="31">
        <f>IF(AQ27="5",BJ27,0)</f>
        <v>0</v>
      </c>
      <c r="AB27" s="31">
        <f>IF(AQ27="1",BH27,0)</f>
        <v>0</v>
      </c>
      <c r="AC27" s="31">
        <f>IF(AQ27="1",BI27,0)</f>
        <v>0</v>
      </c>
      <c r="AD27" s="31">
        <f>IF(AQ27="7",BH27,0)</f>
        <v>0</v>
      </c>
      <c r="AE27" s="31">
        <f>IF(AQ27="7",BI27,0)</f>
        <v>0</v>
      </c>
      <c r="AF27" s="31">
        <f>IF(AQ27="2",BH27,0)</f>
        <v>0</v>
      </c>
      <c r="AG27" s="31">
        <f>IF(AQ27="2",BI27,0)</f>
        <v>0</v>
      </c>
      <c r="AH27" s="31">
        <f>IF(AQ27="0",BJ27,0)</f>
        <v>0</v>
      </c>
      <c r="AI27" s="25"/>
      <c r="AJ27" s="17">
        <f>IF(AN27=0,J27,0)</f>
        <v>0</v>
      </c>
      <c r="AK27" s="17">
        <f>IF(AN27=15,J27,0)</f>
        <v>0</v>
      </c>
      <c r="AL27" s="17">
        <f>IF(AN27=21,J27,0)</f>
        <v>0</v>
      </c>
      <c r="AN27" s="31">
        <v>21</v>
      </c>
      <c r="AO27" s="31">
        <f>G27*0</f>
        <v>0</v>
      </c>
      <c r="AP27" s="31">
        <f>G27*(1-0)</f>
        <v>0</v>
      </c>
      <c r="AQ27" s="28" t="s">
        <v>12</v>
      </c>
      <c r="AV27" s="31">
        <f>AW27+AX27</f>
        <v>0</v>
      </c>
      <c r="AW27" s="31">
        <f>F27*AO27</f>
        <v>0</v>
      </c>
      <c r="AX27" s="31">
        <f>F27*AP27</f>
        <v>0</v>
      </c>
      <c r="AY27" s="32" t="s">
        <v>472</v>
      </c>
      <c r="AZ27" s="32" t="s">
        <v>479</v>
      </c>
      <c r="BA27" s="25" t="s">
        <v>482</v>
      </c>
      <c r="BC27" s="31">
        <f>AW27+AX27</f>
        <v>0</v>
      </c>
      <c r="BD27" s="31">
        <f>G27/(100-BE27)*100</f>
        <v>0</v>
      </c>
      <c r="BE27" s="31">
        <v>0</v>
      </c>
      <c r="BF27" s="31">
        <f>L27</f>
        <v>0</v>
      </c>
      <c r="BH27" s="17">
        <f>F27*AO27</f>
        <v>0</v>
      </c>
      <c r="BI27" s="17">
        <f>F27*AP27</f>
        <v>0</v>
      </c>
      <c r="BJ27" s="17">
        <f>F27*G27</f>
        <v>0</v>
      </c>
    </row>
    <row r="28" spans="1:62">
      <c r="D28" s="66" t="s">
        <v>235</v>
      </c>
      <c r="F28" s="18">
        <v>14</v>
      </c>
    </row>
    <row r="29" spans="1:62">
      <c r="A29" s="4" t="s">
        <v>14</v>
      </c>
      <c r="B29" s="4"/>
      <c r="C29" s="4" t="s">
        <v>120</v>
      </c>
      <c r="D29" s="65" t="s">
        <v>237</v>
      </c>
      <c r="E29" s="4" t="s">
        <v>436</v>
      </c>
      <c r="F29" s="17">
        <v>9</v>
      </c>
      <c r="G29" s="17">
        <v>0</v>
      </c>
      <c r="H29" s="17">
        <f>F29*AO29</f>
        <v>0</v>
      </c>
      <c r="I29" s="17">
        <f>F29*AP29</f>
        <v>0</v>
      </c>
      <c r="J29" s="17">
        <f>F29*G29</f>
        <v>0</v>
      </c>
      <c r="K29" s="17">
        <v>2.3000000000000001E-4</v>
      </c>
      <c r="L29" s="17">
        <f>F29*K29</f>
        <v>2.0700000000000002E-3</v>
      </c>
      <c r="M29" s="28" t="s">
        <v>462</v>
      </c>
      <c r="Z29" s="31">
        <f>IF(AQ29="5",BJ29,0)</f>
        <v>0</v>
      </c>
      <c r="AB29" s="31">
        <f>IF(AQ29="1",BH29,0)</f>
        <v>0</v>
      </c>
      <c r="AC29" s="31">
        <f>IF(AQ29="1",BI29,0)</f>
        <v>0</v>
      </c>
      <c r="AD29" s="31">
        <f>IF(AQ29="7",BH29,0)</f>
        <v>0</v>
      </c>
      <c r="AE29" s="31">
        <f>IF(AQ29="7",BI29,0)</f>
        <v>0</v>
      </c>
      <c r="AF29" s="31">
        <f>IF(AQ29="2",BH29,0)</f>
        <v>0</v>
      </c>
      <c r="AG29" s="31">
        <f>IF(AQ29="2",BI29,0)</f>
        <v>0</v>
      </c>
      <c r="AH29" s="31">
        <f>IF(AQ29="0",BJ29,0)</f>
        <v>0</v>
      </c>
      <c r="AI29" s="25"/>
      <c r="AJ29" s="17">
        <f>IF(AN29=0,J29,0)</f>
        <v>0</v>
      </c>
      <c r="AK29" s="17">
        <f>IF(AN29=15,J29,0)</f>
        <v>0</v>
      </c>
      <c r="AL29" s="17">
        <f>IF(AN29=21,J29,0)</f>
        <v>0</v>
      </c>
      <c r="AN29" s="31">
        <v>21</v>
      </c>
      <c r="AO29" s="31">
        <f>G29*0.799132512701058</f>
        <v>0</v>
      </c>
      <c r="AP29" s="31">
        <f>G29*(1-0.799132512701058)</f>
        <v>0</v>
      </c>
      <c r="AQ29" s="28" t="s">
        <v>12</v>
      </c>
      <c r="AV29" s="31">
        <f>AW29+AX29</f>
        <v>0</v>
      </c>
      <c r="AW29" s="31">
        <f>F29*AO29</f>
        <v>0</v>
      </c>
      <c r="AX29" s="31">
        <f>F29*AP29</f>
        <v>0</v>
      </c>
      <c r="AY29" s="32" t="s">
        <v>472</v>
      </c>
      <c r="AZ29" s="32" t="s">
        <v>479</v>
      </c>
      <c r="BA29" s="25" t="s">
        <v>482</v>
      </c>
      <c r="BC29" s="31">
        <f>AW29+AX29</f>
        <v>0</v>
      </c>
      <c r="BD29" s="31">
        <f>G29/(100-BE29)*100</f>
        <v>0</v>
      </c>
      <c r="BE29" s="31">
        <v>0</v>
      </c>
      <c r="BF29" s="31">
        <f>L29</f>
        <v>2.0700000000000002E-3</v>
      </c>
      <c r="BH29" s="17">
        <f>F29*AO29</f>
        <v>0</v>
      </c>
      <c r="BI29" s="17">
        <f>F29*AP29</f>
        <v>0</v>
      </c>
      <c r="BJ29" s="17">
        <f>F29*G29</f>
        <v>0</v>
      </c>
    </row>
    <row r="30" spans="1:62">
      <c r="D30" s="66" t="s">
        <v>238</v>
      </c>
      <c r="F30" s="18">
        <v>9</v>
      </c>
    </row>
    <row r="31" spans="1:62">
      <c r="A31" s="4" t="s">
        <v>15</v>
      </c>
      <c r="B31" s="4"/>
      <c r="C31" s="4" t="s">
        <v>121</v>
      </c>
      <c r="D31" s="65" t="s">
        <v>239</v>
      </c>
      <c r="E31" s="4" t="s">
        <v>436</v>
      </c>
      <c r="F31" s="17">
        <v>7</v>
      </c>
      <c r="G31" s="17">
        <v>0</v>
      </c>
      <c r="H31" s="17">
        <f>F31*AO31</f>
        <v>0</v>
      </c>
      <c r="I31" s="17">
        <f>F31*AP31</f>
        <v>0</v>
      </c>
      <c r="J31" s="17">
        <f>F31*G31</f>
        <v>0</v>
      </c>
      <c r="K31" s="17">
        <v>3.8000000000000002E-4</v>
      </c>
      <c r="L31" s="17">
        <f>F31*K31</f>
        <v>2.66E-3</v>
      </c>
      <c r="M31" s="28" t="s">
        <v>462</v>
      </c>
      <c r="Z31" s="31">
        <f>IF(AQ31="5",BJ31,0)</f>
        <v>0</v>
      </c>
      <c r="AB31" s="31">
        <f>IF(AQ31="1",BH31,0)</f>
        <v>0</v>
      </c>
      <c r="AC31" s="31">
        <f>IF(AQ31="1",BI31,0)</f>
        <v>0</v>
      </c>
      <c r="AD31" s="31">
        <f>IF(AQ31="7",BH31,0)</f>
        <v>0</v>
      </c>
      <c r="AE31" s="31">
        <f>IF(AQ31="7",BI31,0)</f>
        <v>0</v>
      </c>
      <c r="AF31" s="31">
        <f>IF(AQ31="2",BH31,0)</f>
        <v>0</v>
      </c>
      <c r="AG31" s="31">
        <f>IF(AQ31="2",BI31,0)</f>
        <v>0</v>
      </c>
      <c r="AH31" s="31">
        <f>IF(AQ31="0",BJ31,0)</f>
        <v>0</v>
      </c>
      <c r="AI31" s="25"/>
      <c r="AJ31" s="17">
        <f>IF(AN31=0,J31,0)</f>
        <v>0</v>
      </c>
      <c r="AK31" s="17">
        <f>IF(AN31=15,J31,0)</f>
        <v>0</v>
      </c>
      <c r="AL31" s="17">
        <f>IF(AN31=21,J31,0)</f>
        <v>0</v>
      </c>
      <c r="AN31" s="31">
        <v>21</v>
      </c>
      <c r="AO31" s="31">
        <f>G31*0.800128</f>
        <v>0</v>
      </c>
      <c r="AP31" s="31">
        <f>G31*(1-0.800128)</f>
        <v>0</v>
      </c>
      <c r="AQ31" s="28" t="s">
        <v>12</v>
      </c>
      <c r="AV31" s="31">
        <f>AW31+AX31</f>
        <v>0</v>
      </c>
      <c r="AW31" s="31">
        <f>F31*AO31</f>
        <v>0</v>
      </c>
      <c r="AX31" s="31">
        <f>F31*AP31</f>
        <v>0</v>
      </c>
      <c r="AY31" s="32" t="s">
        <v>472</v>
      </c>
      <c r="AZ31" s="32" t="s">
        <v>479</v>
      </c>
      <c r="BA31" s="25" t="s">
        <v>482</v>
      </c>
      <c r="BC31" s="31">
        <f>AW31+AX31</f>
        <v>0</v>
      </c>
      <c r="BD31" s="31">
        <f>G31/(100-BE31)*100</f>
        <v>0</v>
      </c>
      <c r="BE31" s="31">
        <v>0</v>
      </c>
      <c r="BF31" s="31">
        <f>L31</f>
        <v>2.66E-3</v>
      </c>
      <c r="BH31" s="17">
        <f>F31*AO31</f>
        <v>0</v>
      </c>
      <c r="BI31" s="17">
        <f>F31*AP31</f>
        <v>0</v>
      </c>
      <c r="BJ31" s="17">
        <f>F31*G31</f>
        <v>0</v>
      </c>
    </row>
    <row r="32" spans="1:62">
      <c r="D32" s="66" t="s">
        <v>231</v>
      </c>
      <c r="F32" s="18">
        <v>7</v>
      </c>
    </row>
    <row r="33" spans="1:62" ht="25.5">
      <c r="A33" s="4" t="s">
        <v>16</v>
      </c>
      <c r="B33" s="4"/>
      <c r="C33" s="4" t="s">
        <v>122</v>
      </c>
      <c r="D33" s="65" t="s">
        <v>240</v>
      </c>
      <c r="E33" s="4" t="s">
        <v>437</v>
      </c>
      <c r="F33" s="17">
        <v>30</v>
      </c>
      <c r="G33" s="17">
        <v>0</v>
      </c>
      <c r="H33" s="17">
        <f>F33*AO33</f>
        <v>0</v>
      </c>
      <c r="I33" s="17">
        <f>F33*AP33</f>
        <v>0</v>
      </c>
      <c r="J33" s="17">
        <f>F33*G33</f>
        <v>0</v>
      </c>
      <c r="K33" s="17">
        <v>7.7999999999999999E-4</v>
      </c>
      <c r="L33" s="17">
        <f>F33*K33</f>
        <v>2.3400000000000001E-2</v>
      </c>
      <c r="M33" s="28" t="s">
        <v>462</v>
      </c>
      <c r="Z33" s="31">
        <f>IF(AQ33="5",BJ33,0)</f>
        <v>0</v>
      </c>
      <c r="AB33" s="31">
        <f>IF(AQ33="1",BH33,0)</f>
        <v>0</v>
      </c>
      <c r="AC33" s="31">
        <f>IF(AQ33="1",BI33,0)</f>
        <v>0</v>
      </c>
      <c r="AD33" s="31">
        <f>IF(AQ33="7",BH33,0)</f>
        <v>0</v>
      </c>
      <c r="AE33" s="31">
        <f>IF(AQ33="7",BI33,0)</f>
        <v>0</v>
      </c>
      <c r="AF33" s="31">
        <f>IF(AQ33="2",BH33,0)</f>
        <v>0</v>
      </c>
      <c r="AG33" s="31">
        <f>IF(AQ33="2",BI33,0)</f>
        <v>0</v>
      </c>
      <c r="AH33" s="31">
        <f>IF(AQ33="0",BJ33,0)</f>
        <v>0</v>
      </c>
      <c r="AI33" s="25"/>
      <c r="AJ33" s="17">
        <f>IF(AN33=0,J33,0)</f>
        <v>0</v>
      </c>
      <c r="AK33" s="17">
        <f>IF(AN33=15,J33,0)</f>
        <v>0</v>
      </c>
      <c r="AL33" s="17">
        <f>IF(AN33=21,J33,0)</f>
        <v>0</v>
      </c>
      <c r="AN33" s="31">
        <v>21</v>
      </c>
      <c r="AO33" s="31">
        <f>G33*0.350884757624505</f>
        <v>0</v>
      </c>
      <c r="AP33" s="31">
        <f>G33*(1-0.350884757624505)</f>
        <v>0</v>
      </c>
      <c r="AQ33" s="28" t="s">
        <v>12</v>
      </c>
      <c r="AV33" s="31">
        <f>AW33+AX33</f>
        <v>0</v>
      </c>
      <c r="AW33" s="31">
        <f>F33*AO33</f>
        <v>0</v>
      </c>
      <c r="AX33" s="31">
        <f>F33*AP33</f>
        <v>0</v>
      </c>
      <c r="AY33" s="32" t="s">
        <v>472</v>
      </c>
      <c r="AZ33" s="32" t="s">
        <v>479</v>
      </c>
      <c r="BA33" s="25" t="s">
        <v>482</v>
      </c>
      <c r="BC33" s="31">
        <f>AW33+AX33</f>
        <v>0</v>
      </c>
      <c r="BD33" s="31">
        <f>G33/(100-BE33)*100</f>
        <v>0</v>
      </c>
      <c r="BE33" s="31">
        <v>0</v>
      </c>
      <c r="BF33" s="31">
        <f>L33</f>
        <v>2.3400000000000001E-2</v>
      </c>
      <c r="BH33" s="17">
        <f>F33*AO33</f>
        <v>0</v>
      </c>
      <c r="BI33" s="17">
        <f>F33*AP33</f>
        <v>0</v>
      </c>
      <c r="BJ33" s="17">
        <f>F33*G33</f>
        <v>0</v>
      </c>
    </row>
    <row r="34" spans="1:62">
      <c r="D34" s="66" t="s">
        <v>241</v>
      </c>
      <c r="F34" s="18">
        <v>30</v>
      </c>
    </row>
    <row r="35" spans="1:62" ht="25.5">
      <c r="A35" s="4" t="s">
        <v>17</v>
      </c>
      <c r="B35" s="4"/>
      <c r="C35" s="4" t="s">
        <v>123</v>
      </c>
      <c r="D35" s="65" t="s">
        <v>242</v>
      </c>
      <c r="E35" s="4" t="s">
        <v>437</v>
      </c>
      <c r="F35" s="17">
        <v>80</v>
      </c>
      <c r="G35" s="17">
        <v>0</v>
      </c>
      <c r="H35" s="17">
        <f>F35*AO35</f>
        <v>0</v>
      </c>
      <c r="I35" s="17">
        <f>F35*AP35</f>
        <v>0</v>
      </c>
      <c r="J35" s="17">
        <f>F35*G35</f>
        <v>0</v>
      </c>
      <c r="K35" s="17">
        <v>1.31E-3</v>
      </c>
      <c r="L35" s="17">
        <f>F35*K35</f>
        <v>0.1048</v>
      </c>
      <c r="M35" s="28" t="s">
        <v>462</v>
      </c>
      <c r="Z35" s="31">
        <f>IF(AQ35="5",BJ35,0)</f>
        <v>0</v>
      </c>
      <c r="AB35" s="31">
        <f>IF(AQ35="1",BH35,0)</f>
        <v>0</v>
      </c>
      <c r="AC35" s="31">
        <f>IF(AQ35="1",BI35,0)</f>
        <v>0</v>
      </c>
      <c r="AD35" s="31">
        <f>IF(AQ35="7",BH35,0)</f>
        <v>0</v>
      </c>
      <c r="AE35" s="31">
        <f>IF(AQ35="7",BI35,0)</f>
        <v>0</v>
      </c>
      <c r="AF35" s="31">
        <f>IF(AQ35="2",BH35,0)</f>
        <v>0</v>
      </c>
      <c r="AG35" s="31">
        <f>IF(AQ35="2",BI35,0)</f>
        <v>0</v>
      </c>
      <c r="AH35" s="31">
        <f>IF(AQ35="0",BJ35,0)</f>
        <v>0</v>
      </c>
      <c r="AI35" s="25"/>
      <c r="AJ35" s="17">
        <f>IF(AN35=0,J35,0)</f>
        <v>0</v>
      </c>
      <c r="AK35" s="17">
        <f>IF(AN35=15,J35,0)</f>
        <v>0</v>
      </c>
      <c r="AL35" s="17">
        <f>IF(AN35=21,J35,0)</f>
        <v>0</v>
      </c>
      <c r="AN35" s="31">
        <v>21</v>
      </c>
      <c r="AO35" s="31">
        <f>G35*0.418488549618321</f>
        <v>0</v>
      </c>
      <c r="AP35" s="31">
        <f>G35*(1-0.418488549618321)</f>
        <v>0</v>
      </c>
      <c r="AQ35" s="28" t="s">
        <v>12</v>
      </c>
      <c r="AV35" s="31">
        <f>AW35+AX35</f>
        <v>0</v>
      </c>
      <c r="AW35" s="31">
        <f>F35*AO35</f>
        <v>0</v>
      </c>
      <c r="AX35" s="31">
        <f>F35*AP35</f>
        <v>0</v>
      </c>
      <c r="AY35" s="32" t="s">
        <v>472</v>
      </c>
      <c r="AZ35" s="32" t="s">
        <v>479</v>
      </c>
      <c r="BA35" s="25" t="s">
        <v>482</v>
      </c>
      <c r="BC35" s="31">
        <f>AW35+AX35</f>
        <v>0</v>
      </c>
      <c r="BD35" s="31">
        <f>G35/(100-BE35)*100</f>
        <v>0</v>
      </c>
      <c r="BE35" s="31">
        <v>0</v>
      </c>
      <c r="BF35" s="31">
        <f>L35</f>
        <v>0.1048</v>
      </c>
      <c r="BH35" s="17">
        <f>F35*AO35</f>
        <v>0</v>
      </c>
      <c r="BI35" s="17">
        <f>F35*AP35</f>
        <v>0</v>
      </c>
      <c r="BJ35" s="17">
        <f>F35*G35</f>
        <v>0</v>
      </c>
    </row>
    <row r="36" spans="1:62">
      <c r="D36" s="66" t="s">
        <v>243</v>
      </c>
      <c r="F36" s="18">
        <v>80</v>
      </c>
    </row>
    <row r="37" spans="1:62">
      <c r="A37" s="4" t="s">
        <v>18</v>
      </c>
      <c r="B37" s="4"/>
      <c r="C37" s="4" t="s">
        <v>124</v>
      </c>
      <c r="D37" s="65" t="s">
        <v>244</v>
      </c>
      <c r="E37" s="4" t="s">
        <v>437</v>
      </c>
      <c r="F37" s="17">
        <v>40</v>
      </c>
      <c r="G37" s="17">
        <v>0</v>
      </c>
      <c r="H37" s="17">
        <f>F37*AO37</f>
        <v>0</v>
      </c>
      <c r="I37" s="17">
        <f>F37*AP37</f>
        <v>0</v>
      </c>
      <c r="J37" s="17">
        <f>F37*G37</f>
        <v>0</v>
      </c>
      <c r="K37" s="17">
        <v>3.4000000000000002E-4</v>
      </c>
      <c r="L37" s="17">
        <f>F37*K37</f>
        <v>1.3600000000000001E-2</v>
      </c>
      <c r="M37" s="28" t="s">
        <v>462</v>
      </c>
      <c r="Z37" s="31">
        <f>IF(AQ37="5",BJ37,0)</f>
        <v>0</v>
      </c>
      <c r="AB37" s="31">
        <f>IF(AQ37="1",BH37,0)</f>
        <v>0</v>
      </c>
      <c r="AC37" s="31">
        <f>IF(AQ37="1",BI37,0)</f>
        <v>0</v>
      </c>
      <c r="AD37" s="31">
        <f>IF(AQ37="7",BH37,0)</f>
        <v>0</v>
      </c>
      <c r="AE37" s="31">
        <f>IF(AQ37="7",BI37,0)</f>
        <v>0</v>
      </c>
      <c r="AF37" s="31">
        <f>IF(AQ37="2",BH37,0)</f>
        <v>0</v>
      </c>
      <c r="AG37" s="31">
        <f>IF(AQ37="2",BI37,0)</f>
        <v>0</v>
      </c>
      <c r="AH37" s="31">
        <f>IF(AQ37="0",BJ37,0)</f>
        <v>0</v>
      </c>
      <c r="AI37" s="25"/>
      <c r="AJ37" s="17">
        <f>IF(AN37=0,J37,0)</f>
        <v>0</v>
      </c>
      <c r="AK37" s="17">
        <f>IF(AN37=15,J37,0)</f>
        <v>0</v>
      </c>
      <c r="AL37" s="17">
        <f>IF(AN37=21,J37,0)</f>
        <v>0</v>
      </c>
      <c r="AN37" s="31">
        <v>21</v>
      </c>
      <c r="AO37" s="31">
        <f>G37*0.394624505928854</f>
        <v>0</v>
      </c>
      <c r="AP37" s="31">
        <f>G37*(1-0.394624505928854)</f>
        <v>0</v>
      </c>
      <c r="AQ37" s="28" t="s">
        <v>12</v>
      </c>
      <c r="AV37" s="31">
        <f>AW37+AX37</f>
        <v>0</v>
      </c>
      <c r="AW37" s="31">
        <f>F37*AO37</f>
        <v>0</v>
      </c>
      <c r="AX37" s="31">
        <f>F37*AP37</f>
        <v>0</v>
      </c>
      <c r="AY37" s="32" t="s">
        <v>472</v>
      </c>
      <c r="AZ37" s="32" t="s">
        <v>479</v>
      </c>
      <c r="BA37" s="25" t="s">
        <v>482</v>
      </c>
      <c r="BC37" s="31">
        <f>AW37+AX37</f>
        <v>0</v>
      </c>
      <c r="BD37" s="31">
        <f>G37/(100-BE37)*100</f>
        <v>0</v>
      </c>
      <c r="BE37" s="31">
        <v>0</v>
      </c>
      <c r="BF37" s="31">
        <f>L37</f>
        <v>1.3600000000000001E-2</v>
      </c>
      <c r="BH37" s="17">
        <f>F37*AO37</f>
        <v>0</v>
      </c>
      <c r="BI37" s="17">
        <f>F37*AP37</f>
        <v>0</v>
      </c>
      <c r="BJ37" s="17">
        <f>F37*G37</f>
        <v>0</v>
      </c>
    </row>
    <row r="38" spans="1:62">
      <c r="D38" s="66" t="s">
        <v>245</v>
      </c>
      <c r="F38" s="18">
        <v>40</v>
      </c>
    </row>
    <row r="39" spans="1:62">
      <c r="A39" s="4" t="s">
        <v>19</v>
      </c>
      <c r="B39" s="4"/>
      <c r="C39" s="4" t="s">
        <v>125</v>
      </c>
      <c r="D39" s="65" t="s">
        <v>246</v>
      </c>
      <c r="E39" s="4" t="s">
        <v>437</v>
      </c>
      <c r="F39" s="17">
        <v>45</v>
      </c>
      <c r="G39" s="17">
        <v>0</v>
      </c>
      <c r="H39" s="17">
        <f>F39*AO39</f>
        <v>0</v>
      </c>
      <c r="I39" s="17">
        <f>F39*AP39</f>
        <v>0</v>
      </c>
      <c r="J39" s="17">
        <f>F39*G39</f>
        <v>0</v>
      </c>
      <c r="K39" s="17">
        <v>3.8000000000000002E-4</v>
      </c>
      <c r="L39" s="17">
        <f>F39*K39</f>
        <v>1.7100000000000001E-2</v>
      </c>
      <c r="M39" s="28" t="s">
        <v>462</v>
      </c>
      <c r="Z39" s="31">
        <f>IF(AQ39="5",BJ39,0)</f>
        <v>0</v>
      </c>
      <c r="AB39" s="31">
        <f>IF(AQ39="1",BH39,0)</f>
        <v>0</v>
      </c>
      <c r="AC39" s="31">
        <f>IF(AQ39="1",BI39,0)</f>
        <v>0</v>
      </c>
      <c r="AD39" s="31">
        <f>IF(AQ39="7",BH39,0)</f>
        <v>0</v>
      </c>
      <c r="AE39" s="31">
        <f>IF(AQ39="7",BI39,0)</f>
        <v>0</v>
      </c>
      <c r="AF39" s="31">
        <f>IF(AQ39="2",BH39,0)</f>
        <v>0</v>
      </c>
      <c r="AG39" s="31">
        <f>IF(AQ39="2",BI39,0)</f>
        <v>0</v>
      </c>
      <c r="AH39" s="31">
        <f>IF(AQ39="0",BJ39,0)</f>
        <v>0</v>
      </c>
      <c r="AI39" s="25"/>
      <c r="AJ39" s="17">
        <f>IF(AN39=0,J39,0)</f>
        <v>0</v>
      </c>
      <c r="AK39" s="17">
        <f>IF(AN39=15,J39,0)</f>
        <v>0</v>
      </c>
      <c r="AL39" s="17">
        <f>IF(AN39=21,J39,0)</f>
        <v>0</v>
      </c>
      <c r="AN39" s="31">
        <v>21</v>
      </c>
      <c r="AO39" s="31">
        <f>G39*0.339827586206897</f>
        <v>0</v>
      </c>
      <c r="AP39" s="31">
        <f>G39*(1-0.339827586206897)</f>
        <v>0</v>
      </c>
      <c r="AQ39" s="28" t="s">
        <v>12</v>
      </c>
      <c r="AV39" s="31">
        <f>AW39+AX39</f>
        <v>0</v>
      </c>
      <c r="AW39" s="31">
        <f>F39*AO39</f>
        <v>0</v>
      </c>
      <c r="AX39" s="31">
        <f>F39*AP39</f>
        <v>0</v>
      </c>
      <c r="AY39" s="32" t="s">
        <v>472</v>
      </c>
      <c r="AZ39" s="32" t="s">
        <v>479</v>
      </c>
      <c r="BA39" s="25" t="s">
        <v>482</v>
      </c>
      <c r="BC39" s="31">
        <f>AW39+AX39</f>
        <v>0</v>
      </c>
      <c r="BD39" s="31">
        <f>G39/(100-BE39)*100</f>
        <v>0</v>
      </c>
      <c r="BE39" s="31">
        <v>0</v>
      </c>
      <c r="BF39" s="31">
        <f>L39</f>
        <v>1.7100000000000001E-2</v>
      </c>
      <c r="BH39" s="17">
        <f>F39*AO39</f>
        <v>0</v>
      </c>
      <c r="BI39" s="17">
        <f>F39*AP39</f>
        <v>0</v>
      </c>
      <c r="BJ39" s="17">
        <f>F39*G39</f>
        <v>0</v>
      </c>
    </row>
    <row r="40" spans="1:62">
      <c r="D40" s="66" t="s">
        <v>247</v>
      </c>
      <c r="F40" s="18">
        <v>45</v>
      </c>
    </row>
    <row r="41" spans="1:62">
      <c r="A41" s="4" t="s">
        <v>20</v>
      </c>
      <c r="B41" s="4"/>
      <c r="C41" s="4" t="s">
        <v>126</v>
      </c>
      <c r="D41" s="65" t="s">
        <v>248</v>
      </c>
      <c r="E41" s="4" t="s">
        <v>437</v>
      </c>
      <c r="F41" s="17">
        <v>10</v>
      </c>
      <c r="G41" s="17">
        <v>0</v>
      </c>
      <c r="H41" s="17">
        <f>F41*AO41</f>
        <v>0</v>
      </c>
      <c r="I41" s="17">
        <f>F41*AP41</f>
        <v>0</v>
      </c>
      <c r="J41" s="17">
        <f>F41*G41</f>
        <v>0</v>
      </c>
      <c r="K41" s="17">
        <v>4.6999999999999999E-4</v>
      </c>
      <c r="L41" s="17">
        <f>F41*K41</f>
        <v>4.7000000000000002E-3</v>
      </c>
      <c r="M41" s="28" t="s">
        <v>462</v>
      </c>
      <c r="Z41" s="31">
        <f>IF(AQ41="5",BJ41,0)</f>
        <v>0</v>
      </c>
      <c r="AB41" s="31">
        <f>IF(AQ41="1",BH41,0)</f>
        <v>0</v>
      </c>
      <c r="AC41" s="31">
        <f>IF(AQ41="1",BI41,0)</f>
        <v>0</v>
      </c>
      <c r="AD41" s="31">
        <f>IF(AQ41="7",BH41,0)</f>
        <v>0</v>
      </c>
      <c r="AE41" s="31">
        <f>IF(AQ41="7",BI41,0)</f>
        <v>0</v>
      </c>
      <c r="AF41" s="31">
        <f>IF(AQ41="2",BH41,0)</f>
        <v>0</v>
      </c>
      <c r="AG41" s="31">
        <f>IF(AQ41="2",BI41,0)</f>
        <v>0</v>
      </c>
      <c r="AH41" s="31">
        <f>IF(AQ41="0",BJ41,0)</f>
        <v>0</v>
      </c>
      <c r="AI41" s="25"/>
      <c r="AJ41" s="17">
        <f>IF(AN41=0,J41,0)</f>
        <v>0</v>
      </c>
      <c r="AK41" s="17">
        <f>IF(AN41=15,J41,0)</f>
        <v>0</v>
      </c>
      <c r="AL41" s="17">
        <f>IF(AN41=21,J41,0)</f>
        <v>0</v>
      </c>
      <c r="AN41" s="31">
        <v>21</v>
      </c>
      <c r="AO41" s="31">
        <f>G41*0.32483300589391</f>
        <v>0</v>
      </c>
      <c r="AP41" s="31">
        <f>G41*(1-0.32483300589391)</f>
        <v>0</v>
      </c>
      <c r="AQ41" s="28" t="s">
        <v>12</v>
      </c>
      <c r="AV41" s="31">
        <f>AW41+AX41</f>
        <v>0</v>
      </c>
      <c r="AW41" s="31">
        <f>F41*AO41</f>
        <v>0</v>
      </c>
      <c r="AX41" s="31">
        <f>F41*AP41</f>
        <v>0</v>
      </c>
      <c r="AY41" s="32" t="s">
        <v>472</v>
      </c>
      <c r="AZ41" s="32" t="s">
        <v>479</v>
      </c>
      <c r="BA41" s="25" t="s">
        <v>482</v>
      </c>
      <c r="BC41" s="31">
        <f>AW41+AX41</f>
        <v>0</v>
      </c>
      <c r="BD41" s="31">
        <f>G41/(100-BE41)*100</f>
        <v>0</v>
      </c>
      <c r="BE41" s="31">
        <v>0</v>
      </c>
      <c r="BF41" s="31">
        <f>L41</f>
        <v>4.7000000000000002E-3</v>
      </c>
      <c r="BH41" s="17">
        <f>F41*AO41</f>
        <v>0</v>
      </c>
      <c r="BI41" s="17">
        <f>F41*AP41</f>
        <v>0</v>
      </c>
      <c r="BJ41" s="17">
        <f>F41*G41</f>
        <v>0</v>
      </c>
    </row>
    <row r="42" spans="1:62">
      <c r="D42" s="66" t="s">
        <v>249</v>
      </c>
      <c r="F42" s="18">
        <v>10</v>
      </c>
    </row>
    <row r="43" spans="1:62">
      <c r="A43" s="4" t="s">
        <v>21</v>
      </c>
      <c r="B43" s="4"/>
      <c r="C43" s="4" t="s">
        <v>127</v>
      </c>
      <c r="D43" s="65" t="s">
        <v>250</v>
      </c>
      <c r="E43" s="4" t="s">
        <v>437</v>
      </c>
      <c r="F43" s="17">
        <v>10</v>
      </c>
      <c r="G43" s="17">
        <v>0</v>
      </c>
      <c r="H43" s="17">
        <f>F43*AO43</f>
        <v>0</v>
      </c>
      <c r="I43" s="17">
        <f>F43*AP43</f>
        <v>0</v>
      </c>
      <c r="J43" s="17">
        <f>F43*G43</f>
        <v>0</v>
      </c>
      <c r="K43" s="17">
        <v>1.5200000000000001E-3</v>
      </c>
      <c r="L43" s="17">
        <f>F43*K43</f>
        <v>1.5200000000000002E-2</v>
      </c>
      <c r="M43" s="28" t="s">
        <v>462</v>
      </c>
      <c r="Z43" s="31">
        <f>IF(AQ43="5",BJ43,0)</f>
        <v>0</v>
      </c>
      <c r="AB43" s="31">
        <f>IF(AQ43="1",BH43,0)</f>
        <v>0</v>
      </c>
      <c r="AC43" s="31">
        <f>IF(AQ43="1",BI43,0)</f>
        <v>0</v>
      </c>
      <c r="AD43" s="31">
        <f>IF(AQ43="7",BH43,0)</f>
        <v>0</v>
      </c>
      <c r="AE43" s="31">
        <f>IF(AQ43="7",BI43,0)</f>
        <v>0</v>
      </c>
      <c r="AF43" s="31">
        <f>IF(AQ43="2",BH43,0)</f>
        <v>0</v>
      </c>
      <c r="AG43" s="31">
        <f>IF(AQ43="2",BI43,0)</f>
        <v>0</v>
      </c>
      <c r="AH43" s="31">
        <f>IF(AQ43="0",BJ43,0)</f>
        <v>0</v>
      </c>
      <c r="AI43" s="25"/>
      <c r="AJ43" s="17">
        <f>IF(AN43=0,J43,0)</f>
        <v>0</v>
      </c>
      <c r="AK43" s="17">
        <f>IF(AN43=15,J43,0)</f>
        <v>0</v>
      </c>
      <c r="AL43" s="17">
        <f>IF(AN43=21,J43,0)</f>
        <v>0</v>
      </c>
      <c r="AN43" s="31">
        <v>21</v>
      </c>
      <c r="AO43" s="31">
        <f>G43*0.309864864864865</f>
        <v>0</v>
      </c>
      <c r="AP43" s="31">
        <f>G43*(1-0.309864864864865)</f>
        <v>0</v>
      </c>
      <c r="AQ43" s="28" t="s">
        <v>12</v>
      </c>
      <c r="AV43" s="31">
        <f>AW43+AX43</f>
        <v>0</v>
      </c>
      <c r="AW43" s="31">
        <f>F43*AO43</f>
        <v>0</v>
      </c>
      <c r="AX43" s="31">
        <f>F43*AP43</f>
        <v>0</v>
      </c>
      <c r="AY43" s="32" t="s">
        <v>472</v>
      </c>
      <c r="AZ43" s="32" t="s">
        <v>479</v>
      </c>
      <c r="BA43" s="25" t="s">
        <v>482</v>
      </c>
      <c r="BC43" s="31">
        <f>AW43+AX43</f>
        <v>0</v>
      </c>
      <c r="BD43" s="31">
        <f>G43/(100-BE43)*100</f>
        <v>0</v>
      </c>
      <c r="BE43" s="31">
        <v>0</v>
      </c>
      <c r="BF43" s="31">
        <f>L43</f>
        <v>1.5200000000000002E-2</v>
      </c>
      <c r="BH43" s="17">
        <f>F43*AO43</f>
        <v>0</v>
      </c>
      <c r="BI43" s="17">
        <f>F43*AP43</f>
        <v>0</v>
      </c>
      <c r="BJ43" s="17">
        <f>F43*G43</f>
        <v>0</v>
      </c>
    </row>
    <row r="44" spans="1:62">
      <c r="D44" s="66" t="s">
        <v>249</v>
      </c>
      <c r="F44" s="18">
        <v>10</v>
      </c>
    </row>
    <row r="45" spans="1:62" ht="25.5">
      <c r="A45" s="4" t="s">
        <v>22</v>
      </c>
      <c r="B45" s="4"/>
      <c r="C45" s="4" t="s">
        <v>128</v>
      </c>
      <c r="D45" s="65" t="s">
        <v>251</v>
      </c>
      <c r="E45" s="4" t="s">
        <v>437</v>
      </c>
      <c r="F45" s="17">
        <v>5</v>
      </c>
      <c r="G45" s="17">
        <v>0</v>
      </c>
      <c r="H45" s="17">
        <f>F45*AO45</f>
        <v>0</v>
      </c>
      <c r="I45" s="17">
        <f>F45*AP45</f>
        <v>0</v>
      </c>
      <c r="J45" s="17">
        <f>F45*G45</f>
        <v>0</v>
      </c>
      <c r="K45" s="17">
        <v>1.73E-3</v>
      </c>
      <c r="L45" s="17">
        <f>F45*K45</f>
        <v>8.6499999999999997E-3</v>
      </c>
      <c r="M45" s="28" t="s">
        <v>462</v>
      </c>
      <c r="Z45" s="31">
        <f>IF(AQ45="5",BJ45,0)</f>
        <v>0</v>
      </c>
      <c r="AB45" s="31">
        <f>IF(AQ45="1",BH45,0)</f>
        <v>0</v>
      </c>
      <c r="AC45" s="31">
        <f>IF(AQ45="1",BI45,0)</f>
        <v>0</v>
      </c>
      <c r="AD45" s="31">
        <f>IF(AQ45="7",BH45,0)</f>
        <v>0</v>
      </c>
      <c r="AE45" s="31">
        <f>IF(AQ45="7",BI45,0)</f>
        <v>0</v>
      </c>
      <c r="AF45" s="31">
        <f>IF(AQ45="2",BH45,0)</f>
        <v>0</v>
      </c>
      <c r="AG45" s="31">
        <f>IF(AQ45="2",BI45,0)</f>
        <v>0</v>
      </c>
      <c r="AH45" s="31">
        <f>IF(AQ45="0",BJ45,0)</f>
        <v>0</v>
      </c>
      <c r="AI45" s="25"/>
      <c r="AJ45" s="17">
        <f>IF(AN45=0,J45,0)</f>
        <v>0</v>
      </c>
      <c r="AK45" s="17">
        <f>IF(AN45=15,J45,0)</f>
        <v>0</v>
      </c>
      <c r="AL45" s="17">
        <f>IF(AN45=21,J45,0)</f>
        <v>0</v>
      </c>
      <c r="AN45" s="31">
        <v>21</v>
      </c>
      <c r="AO45" s="31">
        <f>G45*0.824018743109151</f>
        <v>0</v>
      </c>
      <c r="AP45" s="31">
        <f>G45*(1-0.824018743109151)</f>
        <v>0</v>
      </c>
      <c r="AQ45" s="28" t="s">
        <v>12</v>
      </c>
      <c r="AV45" s="31">
        <f>AW45+AX45</f>
        <v>0</v>
      </c>
      <c r="AW45" s="31">
        <f>F45*AO45</f>
        <v>0</v>
      </c>
      <c r="AX45" s="31">
        <f>F45*AP45</f>
        <v>0</v>
      </c>
      <c r="AY45" s="32" t="s">
        <v>472</v>
      </c>
      <c r="AZ45" s="32" t="s">
        <v>479</v>
      </c>
      <c r="BA45" s="25" t="s">
        <v>482</v>
      </c>
      <c r="BC45" s="31">
        <f>AW45+AX45</f>
        <v>0</v>
      </c>
      <c r="BD45" s="31">
        <f>G45/(100-BE45)*100</f>
        <v>0</v>
      </c>
      <c r="BE45" s="31">
        <v>0</v>
      </c>
      <c r="BF45" s="31">
        <f>L45</f>
        <v>8.6499999999999997E-3</v>
      </c>
      <c r="BH45" s="17">
        <f>F45*AO45</f>
        <v>0</v>
      </c>
      <c r="BI45" s="17">
        <f>F45*AP45</f>
        <v>0</v>
      </c>
      <c r="BJ45" s="17">
        <f>F45*G45</f>
        <v>0</v>
      </c>
    </row>
    <row r="46" spans="1:62">
      <c r="D46" s="66" t="s">
        <v>252</v>
      </c>
      <c r="F46" s="18">
        <v>5</v>
      </c>
    </row>
    <row r="47" spans="1:62" ht="25.5">
      <c r="A47" s="4" t="s">
        <v>23</v>
      </c>
      <c r="B47" s="4"/>
      <c r="C47" s="4" t="s">
        <v>129</v>
      </c>
      <c r="D47" s="65" t="s">
        <v>253</v>
      </c>
      <c r="E47" s="4" t="s">
        <v>437</v>
      </c>
      <c r="F47" s="17">
        <v>55</v>
      </c>
      <c r="G47" s="17">
        <v>0</v>
      </c>
      <c r="H47" s="17">
        <f>F47*AO47</f>
        <v>0</v>
      </c>
      <c r="I47" s="17">
        <f>F47*AP47</f>
        <v>0</v>
      </c>
      <c r="J47" s="17">
        <f>F47*G47</f>
        <v>0</v>
      </c>
      <c r="K47" s="17">
        <v>2.7799999999999999E-3</v>
      </c>
      <c r="L47" s="17">
        <f>F47*K47</f>
        <v>0.15290000000000001</v>
      </c>
      <c r="M47" s="28" t="s">
        <v>462</v>
      </c>
      <c r="Z47" s="31">
        <f>IF(AQ47="5",BJ47,0)</f>
        <v>0</v>
      </c>
      <c r="AB47" s="31">
        <f>IF(AQ47="1",BH47,0)</f>
        <v>0</v>
      </c>
      <c r="AC47" s="31">
        <f>IF(AQ47="1",BI47,0)</f>
        <v>0</v>
      </c>
      <c r="AD47" s="31">
        <f>IF(AQ47="7",BH47,0)</f>
        <v>0</v>
      </c>
      <c r="AE47" s="31">
        <f>IF(AQ47="7",BI47,0)</f>
        <v>0</v>
      </c>
      <c r="AF47" s="31">
        <f>IF(AQ47="2",BH47,0)</f>
        <v>0</v>
      </c>
      <c r="AG47" s="31">
        <f>IF(AQ47="2",BI47,0)</f>
        <v>0</v>
      </c>
      <c r="AH47" s="31">
        <f>IF(AQ47="0",BJ47,0)</f>
        <v>0</v>
      </c>
      <c r="AI47" s="25"/>
      <c r="AJ47" s="17">
        <f>IF(AN47=0,J47,0)</f>
        <v>0</v>
      </c>
      <c r="AK47" s="17">
        <f>IF(AN47=15,J47,0)</f>
        <v>0</v>
      </c>
      <c r="AL47" s="17">
        <f>IF(AN47=21,J47,0)</f>
        <v>0</v>
      </c>
      <c r="AN47" s="31">
        <v>21</v>
      </c>
      <c r="AO47" s="31">
        <f>G47*0.841031315240084</f>
        <v>0</v>
      </c>
      <c r="AP47" s="31">
        <f>G47*(1-0.841031315240084)</f>
        <v>0</v>
      </c>
      <c r="AQ47" s="28" t="s">
        <v>12</v>
      </c>
      <c r="AV47" s="31">
        <f>AW47+AX47</f>
        <v>0</v>
      </c>
      <c r="AW47" s="31">
        <f>F47*AO47</f>
        <v>0</v>
      </c>
      <c r="AX47" s="31">
        <f>F47*AP47</f>
        <v>0</v>
      </c>
      <c r="AY47" s="32" t="s">
        <v>472</v>
      </c>
      <c r="AZ47" s="32" t="s">
        <v>479</v>
      </c>
      <c r="BA47" s="25" t="s">
        <v>482</v>
      </c>
      <c r="BC47" s="31">
        <f>AW47+AX47</f>
        <v>0</v>
      </c>
      <c r="BD47" s="31">
        <f>G47/(100-BE47)*100</f>
        <v>0</v>
      </c>
      <c r="BE47" s="31">
        <v>0</v>
      </c>
      <c r="BF47" s="31">
        <f>L47</f>
        <v>0.15290000000000001</v>
      </c>
      <c r="BH47" s="17">
        <f>F47*AO47</f>
        <v>0</v>
      </c>
      <c r="BI47" s="17">
        <f>F47*AP47</f>
        <v>0</v>
      </c>
      <c r="BJ47" s="17">
        <f>F47*G47</f>
        <v>0</v>
      </c>
    </row>
    <row r="48" spans="1:62">
      <c r="D48" s="66" t="s">
        <v>254</v>
      </c>
      <c r="F48" s="18">
        <v>55</v>
      </c>
    </row>
    <row r="49" spans="1:62" ht="25.5">
      <c r="A49" s="4" t="s">
        <v>24</v>
      </c>
      <c r="B49" s="4"/>
      <c r="C49" s="4" t="s">
        <v>130</v>
      </c>
      <c r="D49" s="65" t="s">
        <v>255</v>
      </c>
      <c r="E49" s="4" t="s">
        <v>438</v>
      </c>
      <c r="F49" s="17">
        <v>12</v>
      </c>
      <c r="G49" s="17">
        <v>0</v>
      </c>
      <c r="H49" s="17">
        <f>F49*AO49</f>
        <v>0</v>
      </c>
      <c r="I49" s="17">
        <f>F49*AP49</f>
        <v>0</v>
      </c>
      <c r="J49" s="17">
        <f>F49*G49</f>
        <v>0</v>
      </c>
      <c r="K49" s="17">
        <v>1.1000000000000001E-3</v>
      </c>
      <c r="L49" s="17">
        <f>F49*K49</f>
        <v>1.32E-2</v>
      </c>
      <c r="M49" s="28"/>
      <c r="Z49" s="31">
        <f>IF(AQ49="5",BJ49,0)</f>
        <v>0</v>
      </c>
      <c r="AB49" s="31">
        <f>IF(AQ49="1",BH49,0)</f>
        <v>0</v>
      </c>
      <c r="AC49" s="31">
        <f>IF(AQ49="1",BI49,0)</f>
        <v>0</v>
      </c>
      <c r="AD49" s="31">
        <f>IF(AQ49="7",BH49,0)</f>
        <v>0</v>
      </c>
      <c r="AE49" s="31">
        <f>IF(AQ49="7",BI49,0)</f>
        <v>0</v>
      </c>
      <c r="AF49" s="31">
        <f>IF(AQ49="2",BH49,0)</f>
        <v>0</v>
      </c>
      <c r="AG49" s="31">
        <f>IF(AQ49="2",BI49,0)</f>
        <v>0</v>
      </c>
      <c r="AH49" s="31">
        <f>IF(AQ49="0",BJ49,0)</f>
        <v>0</v>
      </c>
      <c r="AI49" s="25"/>
      <c r="AJ49" s="17">
        <f>IF(AN49=0,J49,0)</f>
        <v>0</v>
      </c>
      <c r="AK49" s="17">
        <f>IF(AN49=15,J49,0)</f>
        <v>0</v>
      </c>
      <c r="AL49" s="17">
        <f>IF(AN49=21,J49,0)</f>
        <v>0</v>
      </c>
      <c r="AN49" s="31">
        <v>21</v>
      </c>
      <c r="AO49" s="31">
        <f>G49*0.9375</f>
        <v>0</v>
      </c>
      <c r="AP49" s="31">
        <f>G49*(1-0.9375)</f>
        <v>0</v>
      </c>
      <c r="AQ49" s="28" t="s">
        <v>12</v>
      </c>
      <c r="AV49" s="31">
        <f>AW49+AX49</f>
        <v>0</v>
      </c>
      <c r="AW49" s="31">
        <f>F49*AO49</f>
        <v>0</v>
      </c>
      <c r="AX49" s="31">
        <f>F49*AP49</f>
        <v>0</v>
      </c>
      <c r="AY49" s="32" t="s">
        <v>472</v>
      </c>
      <c r="AZ49" s="32" t="s">
        <v>479</v>
      </c>
      <c r="BA49" s="25" t="s">
        <v>482</v>
      </c>
      <c r="BC49" s="31">
        <f>AW49+AX49</f>
        <v>0</v>
      </c>
      <c r="BD49" s="31">
        <f>G49/(100-BE49)*100</f>
        <v>0</v>
      </c>
      <c r="BE49" s="31">
        <v>0</v>
      </c>
      <c r="BF49" s="31">
        <f>L49</f>
        <v>1.32E-2</v>
      </c>
      <c r="BH49" s="17">
        <f>F49*AO49</f>
        <v>0</v>
      </c>
      <c r="BI49" s="17">
        <f>F49*AP49</f>
        <v>0</v>
      </c>
      <c r="BJ49" s="17">
        <f>F49*G49</f>
        <v>0</v>
      </c>
    </row>
    <row r="50" spans="1:62">
      <c r="D50" s="14" t="s">
        <v>256</v>
      </c>
    </row>
    <row r="51" spans="1:62">
      <c r="D51" s="66" t="s">
        <v>257</v>
      </c>
      <c r="F51" s="18">
        <v>12</v>
      </c>
    </row>
    <row r="52" spans="1:62">
      <c r="A52" s="4" t="s">
        <v>25</v>
      </c>
      <c r="B52" s="4"/>
      <c r="C52" s="4" t="s">
        <v>131</v>
      </c>
      <c r="D52" s="65" t="s">
        <v>258</v>
      </c>
      <c r="E52" s="4" t="s">
        <v>437</v>
      </c>
      <c r="F52" s="17">
        <v>275</v>
      </c>
      <c r="G52" s="17">
        <v>0</v>
      </c>
      <c r="H52" s="17">
        <f>F52*AO52</f>
        <v>0</v>
      </c>
      <c r="I52" s="17">
        <f>F52*AP52</f>
        <v>0</v>
      </c>
      <c r="J52" s="17">
        <f>F52*G52</f>
        <v>0</v>
      </c>
      <c r="K52" s="17">
        <v>2.1999999999999999E-2</v>
      </c>
      <c r="L52" s="17">
        <f>F52*K52</f>
        <v>6.05</v>
      </c>
      <c r="M52" s="28"/>
      <c r="Z52" s="31">
        <f>IF(AQ52="5",BJ52,0)</f>
        <v>0</v>
      </c>
      <c r="AB52" s="31">
        <f>IF(AQ52="1",BH52,0)</f>
        <v>0</v>
      </c>
      <c r="AC52" s="31">
        <f>IF(AQ52="1",BI52,0)</f>
        <v>0</v>
      </c>
      <c r="AD52" s="31">
        <f>IF(AQ52="7",BH52,0)</f>
        <v>0</v>
      </c>
      <c r="AE52" s="31">
        <f>IF(AQ52="7",BI52,0)</f>
        <v>0</v>
      </c>
      <c r="AF52" s="31">
        <f>IF(AQ52="2",BH52,0)</f>
        <v>0</v>
      </c>
      <c r="AG52" s="31">
        <f>IF(AQ52="2",BI52,0)</f>
        <v>0</v>
      </c>
      <c r="AH52" s="31">
        <f>IF(AQ52="0",BJ52,0)</f>
        <v>0</v>
      </c>
      <c r="AI52" s="25"/>
      <c r="AJ52" s="17">
        <f>IF(AN52=0,J52,0)</f>
        <v>0</v>
      </c>
      <c r="AK52" s="17">
        <f>IF(AN52=15,J52,0)</f>
        <v>0</v>
      </c>
      <c r="AL52" s="17">
        <f>IF(AN52=21,J52,0)</f>
        <v>0</v>
      </c>
      <c r="AN52" s="31">
        <v>21</v>
      </c>
      <c r="AO52" s="31">
        <f>G52*0.508196721311475</f>
        <v>0</v>
      </c>
      <c r="AP52" s="31">
        <f>G52*(1-0.508196721311475)</f>
        <v>0</v>
      </c>
      <c r="AQ52" s="28" t="s">
        <v>12</v>
      </c>
      <c r="AV52" s="31">
        <f>AW52+AX52</f>
        <v>0</v>
      </c>
      <c r="AW52" s="31">
        <f>F52*AO52</f>
        <v>0</v>
      </c>
      <c r="AX52" s="31">
        <f>F52*AP52</f>
        <v>0</v>
      </c>
      <c r="AY52" s="32" t="s">
        <v>472</v>
      </c>
      <c r="AZ52" s="32" t="s">
        <v>479</v>
      </c>
      <c r="BA52" s="25" t="s">
        <v>482</v>
      </c>
      <c r="BC52" s="31">
        <f>AW52+AX52</f>
        <v>0</v>
      </c>
      <c r="BD52" s="31">
        <f>G52/(100-BE52)*100</f>
        <v>0</v>
      </c>
      <c r="BE52" s="31">
        <v>0</v>
      </c>
      <c r="BF52" s="31">
        <f>L52</f>
        <v>6.05</v>
      </c>
      <c r="BH52" s="17">
        <f>F52*AO52</f>
        <v>0</v>
      </c>
      <c r="BI52" s="17">
        <f>F52*AP52</f>
        <v>0</v>
      </c>
      <c r="BJ52" s="17">
        <f>F52*G52</f>
        <v>0</v>
      </c>
    </row>
    <row r="53" spans="1:62">
      <c r="D53" s="66" t="s">
        <v>259</v>
      </c>
      <c r="F53" s="18">
        <v>275</v>
      </c>
    </row>
    <row r="54" spans="1:62">
      <c r="A54" s="4" t="s">
        <v>26</v>
      </c>
      <c r="B54" s="4"/>
      <c r="C54" s="4" t="s">
        <v>132</v>
      </c>
      <c r="D54" s="65" t="s">
        <v>260</v>
      </c>
      <c r="E54" s="4" t="s">
        <v>436</v>
      </c>
      <c r="F54" s="17">
        <v>12</v>
      </c>
      <c r="G54" s="17">
        <v>0</v>
      </c>
      <c r="H54" s="17">
        <f>F54*AO54</f>
        <v>0</v>
      </c>
      <c r="I54" s="17">
        <f>F54*AP54</f>
        <v>0</v>
      </c>
      <c r="J54" s="17">
        <f>F54*G54</f>
        <v>0</v>
      </c>
      <c r="K54" s="17">
        <v>0</v>
      </c>
      <c r="L54" s="17">
        <f>F54*K54</f>
        <v>0</v>
      </c>
      <c r="M54" s="28" t="s">
        <v>462</v>
      </c>
      <c r="Z54" s="31">
        <f>IF(AQ54="5",BJ54,0)</f>
        <v>0</v>
      </c>
      <c r="AB54" s="31">
        <f>IF(AQ54="1",BH54,0)</f>
        <v>0</v>
      </c>
      <c r="AC54" s="31">
        <f>IF(AQ54="1",BI54,0)</f>
        <v>0</v>
      </c>
      <c r="AD54" s="31">
        <f>IF(AQ54="7",BH54,0)</f>
        <v>0</v>
      </c>
      <c r="AE54" s="31">
        <f>IF(AQ54="7",BI54,0)</f>
        <v>0</v>
      </c>
      <c r="AF54" s="31">
        <f>IF(AQ54="2",BH54,0)</f>
        <v>0</v>
      </c>
      <c r="AG54" s="31">
        <f>IF(AQ54="2",BI54,0)</f>
        <v>0</v>
      </c>
      <c r="AH54" s="31">
        <f>IF(AQ54="0",BJ54,0)</f>
        <v>0</v>
      </c>
      <c r="AI54" s="25"/>
      <c r="AJ54" s="17">
        <f>IF(AN54=0,J54,0)</f>
        <v>0</v>
      </c>
      <c r="AK54" s="17">
        <f>IF(AN54=15,J54,0)</f>
        <v>0</v>
      </c>
      <c r="AL54" s="17">
        <f>IF(AN54=21,J54,0)</f>
        <v>0</v>
      </c>
      <c r="AN54" s="31">
        <v>21</v>
      </c>
      <c r="AO54" s="31">
        <f>G54*0</f>
        <v>0</v>
      </c>
      <c r="AP54" s="31">
        <f>G54*(1-0)</f>
        <v>0</v>
      </c>
      <c r="AQ54" s="28" t="s">
        <v>12</v>
      </c>
      <c r="AV54" s="31">
        <f>AW54+AX54</f>
        <v>0</v>
      </c>
      <c r="AW54" s="31">
        <f>F54*AO54</f>
        <v>0</v>
      </c>
      <c r="AX54" s="31">
        <f>F54*AP54</f>
        <v>0</v>
      </c>
      <c r="AY54" s="32" t="s">
        <v>472</v>
      </c>
      <c r="AZ54" s="32" t="s">
        <v>479</v>
      </c>
      <c r="BA54" s="25" t="s">
        <v>482</v>
      </c>
      <c r="BC54" s="31">
        <f>AW54+AX54</f>
        <v>0</v>
      </c>
      <c r="BD54" s="31">
        <f>G54/(100-BE54)*100</f>
        <v>0</v>
      </c>
      <c r="BE54" s="31">
        <v>0</v>
      </c>
      <c r="BF54" s="31">
        <f>L54</f>
        <v>0</v>
      </c>
      <c r="BH54" s="17">
        <f>F54*AO54</f>
        <v>0</v>
      </c>
      <c r="BI54" s="17">
        <f>F54*AP54</f>
        <v>0</v>
      </c>
      <c r="BJ54" s="17">
        <f>F54*G54</f>
        <v>0</v>
      </c>
    </row>
    <row r="55" spans="1:62">
      <c r="D55" s="66" t="s">
        <v>261</v>
      </c>
      <c r="F55" s="18">
        <v>12</v>
      </c>
    </row>
    <row r="56" spans="1:62">
      <c r="A56" s="4" t="s">
        <v>27</v>
      </c>
      <c r="B56" s="4"/>
      <c r="C56" s="4" t="s">
        <v>133</v>
      </c>
      <c r="D56" s="65" t="s">
        <v>262</v>
      </c>
      <c r="E56" s="4" t="s">
        <v>436</v>
      </c>
      <c r="F56" s="17">
        <v>17</v>
      </c>
      <c r="G56" s="17">
        <v>0</v>
      </c>
      <c r="H56" s="17">
        <f>F56*AO56</f>
        <v>0</v>
      </c>
      <c r="I56" s="17">
        <f>F56*AP56</f>
        <v>0</v>
      </c>
      <c r="J56" s="17">
        <f>F56*G56</f>
        <v>0</v>
      </c>
      <c r="K56" s="17">
        <v>0</v>
      </c>
      <c r="L56" s="17">
        <f>F56*K56</f>
        <v>0</v>
      </c>
      <c r="M56" s="28" t="s">
        <v>462</v>
      </c>
      <c r="Z56" s="31">
        <f>IF(AQ56="5",BJ56,0)</f>
        <v>0</v>
      </c>
      <c r="AB56" s="31">
        <f>IF(AQ56="1",BH56,0)</f>
        <v>0</v>
      </c>
      <c r="AC56" s="31">
        <f>IF(AQ56="1",BI56,0)</f>
        <v>0</v>
      </c>
      <c r="AD56" s="31">
        <f>IF(AQ56="7",BH56,0)</f>
        <v>0</v>
      </c>
      <c r="AE56" s="31">
        <f>IF(AQ56="7",BI56,0)</f>
        <v>0</v>
      </c>
      <c r="AF56" s="31">
        <f>IF(AQ56="2",BH56,0)</f>
        <v>0</v>
      </c>
      <c r="AG56" s="31">
        <f>IF(AQ56="2",BI56,0)</f>
        <v>0</v>
      </c>
      <c r="AH56" s="31">
        <f>IF(AQ56="0",BJ56,0)</f>
        <v>0</v>
      </c>
      <c r="AI56" s="25"/>
      <c r="AJ56" s="17">
        <f>IF(AN56=0,J56,0)</f>
        <v>0</v>
      </c>
      <c r="AK56" s="17">
        <f>IF(AN56=15,J56,0)</f>
        <v>0</v>
      </c>
      <c r="AL56" s="17">
        <f>IF(AN56=21,J56,0)</f>
        <v>0</v>
      </c>
      <c r="AN56" s="31">
        <v>21</v>
      </c>
      <c r="AO56" s="31">
        <f>G56*0</f>
        <v>0</v>
      </c>
      <c r="AP56" s="31">
        <f>G56*(1-0)</f>
        <v>0</v>
      </c>
      <c r="AQ56" s="28" t="s">
        <v>12</v>
      </c>
      <c r="AV56" s="31">
        <f>AW56+AX56</f>
        <v>0</v>
      </c>
      <c r="AW56" s="31">
        <f>F56*AO56</f>
        <v>0</v>
      </c>
      <c r="AX56" s="31">
        <f>F56*AP56</f>
        <v>0</v>
      </c>
      <c r="AY56" s="32" t="s">
        <v>472</v>
      </c>
      <c r="AZ56" s="32" t="s">
        <v>479</v>
      </c>
      <c r="BA56" s="25" t="s">
        <v>482</v>
      </c>
      <c r="BC56" s="31">
        <f>AW56+AX56</f>
        <v>0</v>
      </c>
      <c r="BD56" s="31">
        <f>G56/(100-BE56)*100</f>
        <v>0</v>
      </c>
      <c r="BE56" s="31">
        <v>0</v>
      </c>
      <c r="BF56" s="31">
        <f>L56</f>
        <v>0</v>
      </c>
      <c r="BH56" s="17">
        <f>F56*AO56</f>
        <v>0</v>
      </c>
      <c r="BI56" s="17">
        <f>F56*AP56</f>
        <v>0</v>
      </c>
      <c r="BJ56" s="17">
        <f>F56*G56</f>
        <v>0</v>
      </c>
    </row>
    <row r="57" spans="1:62">
      <c r="D57" s="66" t="s">
        <v>263</v>
      </c>
      <c r="F57" s="18">
        <v>17</v>
      </c>
    </row>
    <row r="58" spans="1:62">
      <c r="A58" s="4" t="s">
        <v>28</v>
      </c>
      <c r="B58" s="4"/>
      <c r="C58" s="4" t="s">
        <v>134</v>
      </c>
      <c r="D58" s="65" t="s">
        <v>264</v>
      </c>
      <c r="E58" s="4" t="s">
        <v>436</v>
      </c>
      <c r="F58" s="17">
        <v>1</v>
      </c>
      <c r="G58" s="17">
        <v>0</v>
      </c>
      <c r="H58" s="17">
        <f>F58*AO58</f>
        <v>0</v>
      </c>
      <c r="I58" s="17">
        <f>F58*AP58</f>
        <v>0</v>
      </c>
      <c r="J58" s="17">
        <f>F58*G58</f>
        <v>0</v>
      </c>
      <c r="K58" s="17">
        <v>0</v>
      </c>
      <c r="L58" s="17">
        <f>F58*K58</f>
        <v>0</v>
      </c>
      <c r="M58" s="28" t="s">
        <v>462</v>
      </c>
      <c r="Z58" s="31">
        <f>IF(AQ58="5",BJ58,0)</f>
        <v>0</v>
      </c>
      <c r="AB58" s="31">
        <f>IF(AQ58="1",BH58,0)</f>
        <v>0</v>
      </c>
      <c r="AC58" s="31">
        <f>IF(AQ58="1",BI58,0)</f>
        <v>0</v>
      </c>
      <c r="AD58" s="31">
        <f>IF(AQ58="7",BH58,0)</f>
        <v>0</v>
      </c>
      <c r="AE58" s="31">
        <f>IF(AQ58="7",BI58,0)</f>
        <v>0</v>
      </c>
      <c r="AF58" s="31">
        <f>IF(AQ58="2",BH58,0)</f>
        <v>0</v>
      </c>
      <c r="AG58" s="31">
        <f>IF(AQ58="2",BI58,0)</f>
        <v>0</v>
      </c>
      <c r="AH58" s="31">
        <f>IF(AQ58="0",BJ58,0)</f>
        <v>0</v>
      </c>
      <c r="AI58" s="25"/>
      <c r="AJ58" s="17">
        <f>IF(AN58=0,J58,0)</f>
        <v>0</v>
      </c>
      <c r="AK58" s="17">
        <f>IF(AN58=15,J58,0)</f>
        <v>0</v>
      </c>
      <c r="AL58" s="17">
        <f>IF(AN58=21,J58,0)</f>
        <v>0</v>
      </c>
      <c r="AN58" s="31">
        <v>21</v>
      </c>
      <c r="AO58" s="31">
        <f>G58*0</f>
        <v>0</v>
      </c>
      <c r="AP58" s="31">
        <f>G58*(1-0)</f>
        <v>0</v>
      </c>
      <c r="AQ58" s="28" t="s">
        <v>12</v>
      </c>
      <c r="AV58" s="31">
        <f>AW58+AX58</f>
        <v>0</v>
      </c>
      <c r="AW58" s="31">
        <f>F58*AO58</f>
        <v>0</v>
      </c>
      <c r="AX58" s="31">
        <f>F58*AP58</f>
        <v>0</v>
      </c>
      <c r="AY58" s="32" t="s">
        <v>472</v>
      </c>
      <c r="AZ58" s="32" t="s">
        <v>479</v>
      </c>
      <c r="BA58" s="25" t="s">
        <v>482</v>
      </c>
      <c r="BC58" s="31">
        <f>AW58+AX58</f>
        <v>0</v>
      </c>
      <c r="BD58" s="31">
        <f>G58/(100-BE58)*100</f>
        <v>0</v>
      </c>
      <c r="BE58" s="31">
        <v>0</v>
      </c>
      <c r="BF58" s="31">
        <f>L58</f>
        <v>0</v>
      </c>
      <c r="BH58" s="17">
        <f>F58*AO58</f>
        <v>0</v>
      </c>
      <c r="BI58" s="17">
        <f>F58*AP58</f>
        <v>0</v>
      </c>
      <c r="BJ58" s="17">
        <f>F58*G58</f>
        <v>0</v>
      </c>
    </row>
    <row r="59" spans="1:62">
      <c r="D59" s="66" t="s">
        <v>265</v>
      </c>
      <c r="F59" s="18">
        <v>1</v>
      </c>
    </row>
    <row r="60" spans="1:62">
      <c r="A60" s="4" t="s">
        <v>29</v>
      </c>
      <c r="B60" s="4"/>
      <c r="C60" s="4" t="s">
        <v>135</v>
      </c>
      <c r="D60" s="65" t="s">
        <v>266</v>
      </c>
      <c r="E60" s="4" t="s">
        <v>436</v>
      </c>
      <c r="F60" s="17">
        <v>21</v>
      </c>
      <c r="G60" s="17">
        <v>0</v>
      </c>
      <c r="H60" s="17">
        <f>F60*AO60</f>
        <v>0</v>
      </c>
      <c r="I60" s="17">
        <f>F60*AP60</f>
        <v>0</v>
      </c>
      <c r="J60" s="17">
        <f>F60*G60</f>
        <v>0</v>
      </c>
      <c r="K60" s="17">
        <v>0</v>
      </c>
      <c r="L60" s="17">
        <f>F60*K60</f>
        <v>0</v>
      </c>
      <c r="M60" s="28" t="s">
        <v>462</v>
      </c>
      <c r="Z60" s="31">
        <f>IF(AQ60="5",BJ60,0)</f>
        <v>0</v>
      </c>
      <c r="AB60" s="31">
        <f>IF(AQ60="1",BH60,0)</f>
        <v>0</v>
      </c>
      <c r="AC60" s="31">
        <f>IF(AQ60="1",BI60,0)</f>
        <v>0</v>
      </c>
      <c r="AD60" s="31">
        <f>IF(AQ60="7",BH60,0)</f>
        <v>0</v>
      </c>
      <c r="AE60" s="31">
        <f>IF(AQ60="7",BI60,0)</f>
        <v>0</v>
      </c>
      <c r="AF60" s="31">
        <f>IF(AQ60="2",BH60,0)</f>
        <v>0</v>
      </c>
      <c r="AG60" s="31">
        <f>IF(AQ60="2",BI60,0)</f>
        <v>0</v>
      </c>
      <c r="AH60" s="31">
        <f>IF(AQ60="0",BJ60,0)</f>
        <v>0</v>
      </c>
      <c r="AI60" s="25"/>
      <c r="AJ60" s="17">
        <f>IF(AN60=0,J60,0)</f>
        <v>0</v>
      </c>
      <c r="AK60" s="17">
        <f>IF(AN60=15,J60,0)</f>
        <v>0</v>
      </c>
      <c r="AL60" s="17">
        <f>IF(AN60=21,J60,0)</f>
        <v>0</v>
      </c>
      <c r="AN60" s="31">
        <v>21</v>
      </c>
      <c r="AO60" s="31">
        <f>G60*0</f>
        <v>0</v>
      </c>
      <c r="AP60" s="31">
        <f>G60*(1-0)</f>
        <v>0</v>
      </c>
      <c r="AQ60" s="28" t="s">
        <v>12</v>
      </c>
      <c r="AV60" s="31">
        <f>AW60+AX60</f>
        <v>0</v>
      </c>
      <c r="AW60" s="31">
        <f>F60*AO60</f>
        <v>0</v>
      </c>
      <c r="AX60" s="31">
        <f>F60*AP60</f>
        <v>0</v>
      </c>
      <c r="AY60" s="32" t="s">
        <v>472</v>
      </c>
      <c r="AZ60" s="32" t="s">
        <v>479</v>
      </c>
      <c r="BA60" s="25" t="s">
        <v>482</v>
      </c>
      <c r="BC60" s="31">
        <f>AW60+AX60</f>
        <v>0</v>
      </c>
      <c r="BD60" s="31">
        <f>G60/(100-BE60)*100</f>
        <v>0</v>
      </c>
      <c r="BE60" s="31">
        <v>0</v>
      </c>
      <c r="BF60" s="31">
        <f>L60</f>
        <v>0</v>
      </c>
      <c r="BH60" s="17">
        <f>F60*AO60</f>
        <v>0</v>
      </c>
      <c r="BI60" s="17">
        <f>F60*AP60</f>
        <v>0</v>
      </c>
      <c r="BJ60" s="17">
        <f>F60*G60</f>
        <v>0</v>
      </c>
    </row>
    <row r="61" spans="1:62">
      <c r="D61" s="66" t="s">
        <v>267</v>
      </c>
      <c r="F61" s="18">
        <v>21</v>
      </c>
    </row>
    <row r="62" spans="1:62">
      <c r="A62" s="4" t="s">
        <v>30</v>
      </c>
      <c r="B62" s="4"/>
      <c r="C62" s="4" t="s">
        <v>136</v>
      </c>
      <c r="D62" s="65" t="s">
        <v>268</v>
      </c>
      <c r="E62" s="4" t="s">
        <v>436</v>
      </c>
      <c r="F62" s="17">
        <v>6</v>
      </c>
      <c r="G62" s="17">
        <v>0</v>
      </c>
      <c r="H62" s="17">
        <f>F62*AO62</f>
        <v>0</v>
      </c>
      <c r="I62" s="17">
        <f>F62*AP62</f>
        <v>0</v>
      </c>
      <c r="J62" s="17">
        <f>F62*G62</f>
        <v>0</v>
      </c>
      <c r="K62" s="17">
        <v>1.1800000000000001E-3</v>
      </c>
      <c r="L62" s="17">
        <f>F62*K62</f>
        <v>7.0800000000000004E-3</v>
      </c>
      <c r="M62" s="28" t="s">
        <v>462</v>
      </c>
      <c r="Z62" s="31">
        <f>IF(AQ62="5",BJ62,0)</f>
        <v>0</v>
      </c>
      <c r="AB62" s="31">
        <f>IF(AQ62="1",BH62,0)</f>
        <v>0</v>
      </c>
      <c r="AC62" s="31">
        <f>IF(AQ62="1",BI62,0)</f>
        <v>0</v>
      </c>
      <c r="AD62" s="31">
        <f>IF(AQ62="7",BH62,0)</f>
        <v>0</v>
      </c>
      <c r="AE62" s="31">
        <f>IF(AQ62="7",BI62,0)</f>
        <v>0</v>
      </c>
      <c r="AF62" s="31">
        <f>IF(AQ62="2",BH62,0)</f>
        <v>0</v>
      </c>
      <c r="AG62" s="31">
        <f>IF(AQ62="2",BI62,0)</f>
        <v>0</v>
      </c>
      <c r="AH62" s="31">
        <f>IF(AQ62="0",BJ62,0)</f>
        <v>0</v>
      </c>
      <c r="AI62" s="25"/>
      <c r="AJ62" s="17">
        <f>IF(AN62=0,J62,0)</f>
        <v>0</v>
      </c>
      <c r="AK62" s="17">
        <f>IF(AN62=15,J62,0)</f>
        <v>0</v>
      </c>
      <c r="AL62" s="17">
        <f>IF(AN62=21,J62,0)</f>
        <v>0</v>
      </c>
      <c r="AN62" s="31">
        <v>21</v>
      </c>
      <c r="AO62" s="31">
        <f>G62*0.940869546153762</f>
        <v>0</v>
      </c>
      <c r="AP62" s="31">
        <f>G62*(1-0.940869546153762)</f>
        <v>0</v>
      </c>
      <c r="AQ62" s="28" t="s">
        <v>12</v>
      </c>
      <c r="AV62" s="31">
        <f>AW62+AX62</f>
        <v>0</v>
      </c>
      <c r="AW62" s="31">
        <f>F62*AO62</f>
        <v>0</v>
      </c>
      <c r="AX62" s="31">
        <f>F62*AP62</f>
        <v>0</v>
      </c>
      <c r="AY62" s="32" t="s">
        <v>472</v>
      </c>
      <c r="AZ62" s="32" t="s">
        <v>479</v>
      </c>
      <c r="BA62" s="25" t="s">
        <v>482</v>
      </c>
      <c r="BC62" s="31">
        <f>AW62+AX62</f>
        <v>0</v>
      </c>
      <c r="BD62" s="31">
        <f>G62/(100-BE62)*100</f>
        <v>0</v>
      </c>
      <c r="BE62" s="31">
        <v>0</v>
      </c>
      <c r="BF62" s="31">
        <f>L62</f>
        <v>7.0800000000000004E-3</v>
      </c>
      <c r="BH62" s="17">
        <f>F62*AO62</f>
        <v>0</v>
      </c>
      <c r="BI62" s="17">
        <f>F62*AP62</f>
        <v>0</v>
      </c>
      <c r="BJ62" s="17">
        <f>F62*G62</f>
        <v>0</v>
      </c>
    </row>
    <row r="63" spans="1:62">
      <c r="D63" s="14" t="s">
        <v>269</v>
      </c>
    </row>
    <row r="64" spans="1:62">
      <c r="D64" s="66" t="s">
        <v>270</v>
      </c>
      <c r="F64" s="18">
        <v>6</v>
      </c>
    </row>
    <row r="65" spans="1:62">
      <c r="A65" s="4" t="s">
        <v>31</v>
      </c>
      <c r="B65" s="4"/>
      <c r="C65" s="4" t="s">
        <v>137</v>
      </c>
      <c r="D65" s="65" t="s">
        <v>271</v>
      </c>
      <c r="E65" s="4" t="s">
        <v>436</v>
      </c>
      <c r="F65" s="17">
        <v>2</v>
      </c>
      <c r="G65" s="17">
        <v>0</v>
      </c>
      <c r="H65" s="17">
        <f>F65*AO65</f>
        <v>0</v>
      </c>
      <c r="I65" s="17">
        <f>F65*AP65</f>
        <v>0</v>
      </c>
      <c r="J65" s="17">
        <f>F65*G65</f>
        <v>0</v>
      </c>
      <c r="K65" s="17">
        <v>1.1800000000000001E-3</v>
      </c>
      <c r="L65" s="17">
        <f>F65*K65</f>
        <v>2.3600000000000001E-3</v>
      </c>
      <c r="M65" s="28" t="s">
        <v>462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25"/>
      <c r="AJ65" s="17">
        <f>IF(AN65=0,J65,0)</f>
        <v>0</v>
      </c>
      <c r="AK65" s="17">
        <f>IF(AN65=15,J65,0)</f>
        <v>0</v>
      </c>
      <c r="AL65" s="17">
        <f>IF(AN65=21,J65,0)</f>
        <v>0</v>
      </c>
      <c r="AN65" s="31">
        <v>21</v>
      </c>
      <c r="AO65" s="31">
        <f>G65*0.939769170360611</f>
        <v>0</v>
      </c>
      <c r="AP65" s="31">
        <f>G65*(1-0.939769170360611)</f>
        <v>0</v>
      </c>
      <c r="AQ65" s="28" t="s">
        <v>12</v>
      </c>
      <c r="AV65" s="31">
        <f>AW65+AX65</f>
        <v>0</v>
      </c>
      <c r="AW65" s="31">
        <f>F65*AO65</f>
        <v>0</v>
      </c>
      <c r="AX65" s="31">
        <f>F65*AP65</f>
        <v>0</v>
      </c>
      <c r="AY65" s="32" t="s">
        <v>472</v>
      </c>
      <c r="AZ65" s="32" t="s">
        <v>479</v>
      </c>
      <c r="BA65" s="25" t="s">
        <v>482</v>
      </c>
      <c r="BC65" s="31">
        <f>AW65+AX65</f>
        <v>0</v>
      </c>
      <c r="BD65" s="31">
        <f>G65/(100-BE65)*100</f>
        <v>0</v>
      </c>
      <c r="BE65" s="31">
        <v>0</v>
      </c>
      <c r="BF65" s="31">
        <f>L65</f>
        <v>2.3600000000000001E-3</v>
      </c>
      <c r="BH65" s="17">
        <f>F65*AO65</f>
        <v>0</v>
      </c>
      <c r="BI65" s="17">
        <f>F65*AP65</f>
        <v>0</v>
      </c>
      <c r="BJ65" s="17">
        <f>F65*G65</f>
        <v>0</v>
      </c>
    </row>
    <row r="66" spans="1:62">
      <c r="D66" s="14" t="s">
        <v>269</v>
      </c>
    </row>
    <row r="67" spans="1:62">
      <c r="D67" s="66" t="s">
        <v>272</v>
      </c>
      <c r="F67" s="18">
        <v>2</v>
      </c>
    </row>
    <row r="68" spans="1:62">
      <c r="A68" s="4" t="s">
        <v>32</v>
      </c>
      <c r="B68" s="4"/>
      <c r="C68" s="4" t="s">
        <v>138</v>
      </c>
      <c r="D68" s="65" t="s">
        <v>273</v>
      </c>
      <c r="E68" s="4" t="s">
        <v>438</v>
      </c>
      <c r="F68" s="17">
        <v>1</v>
      </c>
      <c r="G68" s="17">
        <v>0</v>
      </c>
      <c r="H68" s="17">
        <f>F68*AO68</f>
        <v>0</v>
      </c>
      <c r="I68" s="17">
        <f>F68*AP68</f>
        <v>0</v>
      </c>
      <c r="J68" s="17">
        <f>F68*G68</f>
        <v>0</v>
      </c>
      <c r="K68" s="17">
        <v>1.0999999999999999E-2</v>
      </c>
      <c r="L68" s="17">
        <f>F68*K68</f>
        <v>1.0999999999999999E-2</v>
      </c>
      <c r="M68" s="28"/>
      <c r="Z68" s="31">
        <f>IF(AQ68="5",BJ68,0)</f>
        <v>0</v>
      </c>
      <c r="AB68" s="31">
        <f>IF(AQ68="1",BH68,0)</f>
        <v>0</v>
      </c>
      <c r="AC68" s="31">
        <f>IF(AQ68="1",BI68,0)</f>
        <v>0</v>
      </c>
      <c r="AD68" s="31">
        <f>IF(AQ68="7",BH68,0)</f>
        <v>0</v>
      </c>
      <c r="AE68" s="31">
        <f>IF(AQ68="7",BI68,0)</f>
        <v>0</v>
      </c>
      <c r="AF68" s="31">
        <f>IF(AQ68="2",BH68,0)</f>
        <v>0</v>
      </c>
      <c r="AG68" s="31">
        <f>IF(AQ68="2",BI68,0)</f>
        <v>0</v>
      </c>
      <c r="AH68" s="31">
        <f>IF(AQ68="0",BJ68,0)</f>
        <v>0</v>
      </c>
      <c r="AI68" s="25"/>
      <c r="AJ68" s="17">
        <f>IF(AN68=0,J68,0)</f>
        <v>0</v>
      </c>
      <c r="AK68" s="17">
        <f>IF(AN68=15,J68,0)</f>
        <v>0</v>
      </c>
      <c r="AL68" s="17">
        <f>IF(AN68=21,J68,0)</f>
        <v>0</v>
      </c>
      <c r="AN68" s="31">
        <v>21</v>
      </c>
      <c r="AO68" s="31">
        <f>G68*0.903047091412742</f>
        <v>0</v>
      </c>
      <c r="AP68" s="31">
        <f>G68*(1-0.903047091412742)</f>
        <v>0</v>
      </c>
      <c r="AQ68" s="28" t="s">
        <v>12</v>
      </c>
      <c r="AV68" s="31">
        <f>AW68+AX68</f>
        <v>0</v>
      </c>
      <c r="AW68" s="31">
        <f>F68*AO68</f>
        <v>0</v>
      </c>
      <c r="AX68" s="31">
        <f>F68*AP68</f>
        <v>0</v>
      </c>
      <c r="AY68" s="32" t="s">
        <v>472</v>
      </c>
      <c r="AZ68" s="32" t="s">
        <v>479</v>
      </c>
      <c r="BA68" s="25" t="s">
        <v>482</v>
      </c>
      <c r="BC68" s="31">
        <f>AW68+AX68</f>
        <v>0</v>
      </c>
      <c r="BD68" s="31">
        <f>G68/(100-BE68)*100</f>
        <v>0</v>
      </c>
      <c r="BE68" s="31">
        <v>0</v>
      </c>
      <c r="BF68" s="31">
        <f>L68</f>
        <v>1.0999999999999999E-2</v>
      </c>
      <c r="BH68" s="17">
        <f>F68*AO68</f>
        <v>0</v>
      </c>
      <c r="BI68" s="17">
        <f>F68*AP68</f>
        <v>0</v>
      </c>
      <c r="BJ68" s="17">
        <f>F68*G68</f>
        <v>0</v>
      </c>
    </row>
    <row r="69" spans="1:62">
      <c r="D69" s="66" t="s">
        <v>274</v>
      </c>
      <c r="F69" s="18">
        <v>1</v>
      </c>
    </row>
    <row r="70" spans="1:62">
      <c r="A70" s="4" t="s">
        <v>33</v>
      </c>
      <c r="B70" s="4"/>
      <c r="C70" s="4" t="s">
        <v>139</v>
      </c>
      <c r="D70" s="65" t="s">
        <v>275</v>
      </c>
      <c r="E70" s="4" t="s">
        <v>436</v>
      </c>
      <c r="F70" s="17">
        <v>1</v>
      </c>
      <c r="G70" s="17">
        <v>0</v>
      </c>
      <c r="H70" s="17">
        <f>F70*AO70</f>
        <v>0</v>
      </c>
      <c r="I70" s="17">
        <f>F70*AP70</f>
        <v>0</v>
      </c>
      <c r="J70" s="17">
        <f>F70*G70</f>
        <v>0</v>
      </c>
      <c r="K70" s="17">
        <v>2.7E-4</v>
      </c>
      <c r="L70" s="17">
        <f>F70*K70</f>
        <v>2.7E-4</v>
      </c>
      <c r="M70" s="28" t="s">
        <v>462</v>
      </c>
      <c r="Z70" s="31">
        <f>IF(AQ70="5",BJ70,0)</f>
        <v>0</v>
      </c>
      <c r="AB70" s="31">
        <f>IF(AQ70="1",BH70,0)</f>
        <v>0</v>
      </c>
      <c r="AC70" s="31">
        <f>IF(AQ70="1",BI70,0)</f>
        <v>0</v>
      </c>
      <c r="AD70" s="31">
        <f>IF(AQ70="7",BH70,0)</f>
        <v>0</v>
      </c>
      <c r="AE70" s="31">
        <f>IF(AQ70="7",BI70,0)</f>
        <v>0</v>
      </c>
      <c r="AF70" s="31">
        <f>IF(AQ70="2",BH70,0)</f>
        <v>0</v>
      </c>
      <c r="AG70" s="31">
        <f>IF(AQ70="2",BI70,0)</f>
        <v>0</v>
      </c>
      <c r="AH70" s="31">
        <f>IF(AQ70="0",BJ70,0)</f>
        <v>0</v>
      </c>
      <c r="AI70" s="25"/>
      <c r="AJ70" s="17">
        <f>IF(AN70=0,J70,0)</f>
        <v>0</v>
      </c>
      <c r="AK70" s="17">
        <f>IF(AN70=15,J70,0)</f>
        <v>0</v>
      </c>
      <c r="AL70" s="17">
        <f>IF(AN70=21,J70,0)</f>
        <v>0</v>
      </c>
      <c r="AN70" s="31">
        <v>21</v>
      </c>
      <c r="AO70" s="31">
        <f>G70*0.812316221712717</f>
        <v>0</v>
      </c>
      <c r="AP70" s="31">
        <f>G70*(1-0.812316221712717)</f>
        <v>0</v>
      </c>
      <c r="AQ70" s="28" t="s">
        <v>12</v>
      </c>
      <c r="AV70" s="31">
        <f>AW70+AX70</f>
        <v>0</v>
      </c>
      <c r="AW70" s="31">
        <f>F70*AO70</f>
        <v>0</v>
      </c>
      <c r="AX70" s="31">
        <f>F70*AP70</f>
        <v>0</v>
      </c>
      <c r="AY70" s="32" t="s">
        <v>472</v>
      </c>
      <c r="AZ70" s="32" t="s">
        <v>479</v>
      </c>
      <c r="BA70" s="25" t="s">
        <v>482</v>
      </c>
      <c r="BC70" s="31">
        <f>AW70+AX70</f>
        <v>0</v>
      </c>
      <c r="BD70" s="31">
        <f>G70/(100-BE70)*100</f>
        <v>0</v>
      </c>
      <c r="BE70" s="31">
        <v>0</v>
      </c>
      <c r="BF70" s="31">
        <f>L70</f>
        <v>2.7E-4</v>
      </c>
      <c r="BH70" s="17">
        <f>F70*AO70</f>
        <v>0</v>
      </c>
      <c r="BI70" s="17">
        <f>F70*AP70</f>
        <v>0</v>
      </c>
      <c r="BJ70" s="17">
        <f>F70*G70</f>
        <v>0</v>
      </c>
    </row>
    <row r="71" spans="1:62">
      <c r="D71" s="66" t="s">
        <v>276</v>
      </c>
      <c r="F71" s="18">
        <v>1</v>
      </c>
    </row>
    <row r="72" spans="1:62">
      <c r="A72" s="4" t="s">
        <v>34</v>
      </c>
      <c r="B72" s="4"/>
      <c r="C72" s="4" t="s">
        <v>140</v>
      </c>
      <c r="D72" s="65" t="s">
        <v>277</v>
      </c>
      <c r="E72" s="4" t="s">
        <v>438</v>
      </c>
      <c r="F72" s="17">
        <v>43</v>
      </c>
      <c r="G72" s="17">
        <v>0</v>
      </c>
      <c r="H72" s="17">
        <f>F72*AO72</f>
        <v>0</v>
      </c>
      <c r="I72" s="17">
        <f>F72*AP72</f>
        <v>0</v>
      </c>
      <c r="J72" s="17">
        <f>F72*G72</f>
        <v>0</v>
      </c>
      <c r="K72" s="17">
        <v>1.4999999999999999E-2</v>
      </c>
      <c r="L72" s="17">
        <f>F72*K72</f>
        <v>0.64500000000000002</v>
      </c>
      <c r="M72" s="28"/>
      <c r="Z72" s="31">
        <f>IF(AQ72="5",BJ72,0)</f>
        <v>0</v>
      </c>
      <c r="AB72" s="31">
        <f>IF(AQ72="1",BH72,0)</f>
        <v>0</v>
      </c>
      <c r="AC72" s="31">
        <f>IF(AQ72="1",BI72,0)</f>
        <v>0</v>
      </c>
      <c r="AD72" s="31">
        <f>IF(AQ72="7",BH72,0)</f>
        <v>0</v>
      </c>
      <c r="AE72" s="31">
        <f>IF(AQ72="7",BI72,0)</f>
        <v>0</v>
      </c>
      <c r="AF72" s="31">
        <f>IF(AQ72="2",BH72,0)</f>
        <v>0</v>
      </c>
      <c r="AG72" s="31">
        <f>IF(AQ72="2",BI72,0)</f>
        <v>0</v>
      </c>
      <c r="AH72" s="31">
        <f>IF(AQ72="0",BJ72,0)</f>
        <v>0</v>
      </c>
      <c r="AI72" s="25"/>
      <c r="AJ72" s="17">
        <f>IF(AN72=0,J72,0)</f>
        <v>0</v>
      </c>
      <c r="AK72" s="17">
        <f>IF(AN72=15,J72,0)</f>
        <v>0</v>
      </c>
      <c r="AL72" s="17">
        <f>IF(AN72=21,J72,0)</f>
        <v>0</v>
      </c>
      <c r="AN72" s="31">
        <v>21</v>
      </c>
      <c r="AO72" s="31">
        <f>G72*0.891304347826087</f>
        <v>0</v>
      </c>
      <c r="AP72" s="31">
        <f>G72*(1-0.891304347826087)</f>
        <v>0</v>
      </c>
      <c r="AQ72" s="28" t="s">
        <v>12</v>
      </c>
      <c r="AV72" s="31">
        <f>AW72+AX72</f>
        <v>0</v>
      </c>
      <c r="AW72" s="31">
        <f>F72*AO72</f>
        <v>0</v>
      </c>
      <c r="AX72" s="31">
        <f>F72*AP72</f>
        <v>0</v>
      </c>
      <c r="AY72" s="32" t="s">
        <v>472</v>
      </c>
      <c r="AZ72" s="32" t="s">
        <v>479</v>
      </c>
      <c r="BA72" s="25" t="s">
        <v>482</v>
      </c>
      <c r="BC72" s="31">
        <f>AW72+AX72</f>
        <v>0</v>
      </c>
      <c r="BD72" s="31">
        <f>G72/(100-BE72)*100</f>
        <v>0</v>
      </c>
      <c r="BE72" s="31">
        <v>0</v>
      </c>
      <c r="BF72" s="31">
        <f>L72</f>
        <v>0.64500000000000002</v>
      </c>
      <c r="BH72" s="17">
        <f>F72*AO72</f>
        <v>0</v>
      </c>
      <c r="BI72" s="17">
        <f>F72*AP72</f>
        <v>0</v>
      </c>
      <c r="BJ72" s="17">
        <f>F72*G72</f>
        <v>0</v>
      </c>
    </row>
    <row r="73" spans="1:62">
      <c r="D73" s="14" t="s">
        <v>278</v>
      </c>
    </row>
    <row r="74" spans="1:62">
      <c r="D74" s="66" t="s">
        <v>279</v>
      </c>
      <c r="F74" s="18">
        <v>43</v>
      </c>
    </row>
    <row r="75" spans="1:62">
      <c r="A75" s="4" t="s">
        <v>35</v>
      </c>
      <c r="B75" s="4"/>
      <c r="C75" s="4" t="s">
        <v>141</v>
      </c>
      <c r="D75" s="65" t="s">
        <v>280</v>
      </c>
      <c r="E75" s="4" t="s">
        <v>437</v>
      </c>
      <c r="F75" s="17">
        <v>275</v>
      </c>
      <c r="G75" s="17">
        <v>0</v>
      </c>
      <c r="H75" s="17">
        <f>F75*AO75</f>
        <v>0</v>
      </c>
      <c r="I75" s="17">
        <f>F75*AP75</f>
        <v>0</v>
      </c>
      <c r="J75" s="17">
        <f>F75*G75</f>
        <v>0</v>
      </c>
      <c r="K75" s="17">
        <v>0</v>
      </c>
      <c r="L75" s="17">
        <f>F75*K75</f>
        <v>0</v>
      </c>
      <c r="M75" s="28" t="s">
        <v>462</v>
      </c>
      <c r="Z75" s="31">
        <f>IF(AQ75="5",BJ75,0)</f>
        <v>0</v>
      </c>
      <c r="AB75" s="31">
        <f>IF(AQ75="1",BH75,0)</f>
        <v>0</v>
      </c>
      <c r="AC75" s="31">
        <f>IF(AQ75="1",BI75,0)</f>
        <v>0</v>
      </c>
      <c r="AD75" s="31">
        <f>IF(AQ75="7",BH75,0)</f>
        <v>0</v>
      </c>
      <c r="AE75" s="31">
        <f>IF(AQ75="7",BI75,0)</f>
        <v>0</v>
      </c>
      <c r="AF75" s="31">
        <f>IF(AQ75="2",BH75,0)</f>
        <v>0</v>
      </c>
      <c r="AG75" s="31">
        <f>IF(AQ75="2",BI75,0)</f>
        <v>0</v>
      </c>
      <c r="AH75" s="31">
        <f>IF(AQ75="0",BJ75,0)</f>
        <v>0</v>
      </c>
      <c r="AI75" s="25"/>
      <c r="AJ75" s="17">
        <f>IF(AN75=0,J75,0)</f>
        <v>0</v>
      </c>
      <c r="AK75" s="17">
        <f>IF(AN75=15,J75,0)</f>
        <v>0</v>
      </c>
      <c r="AL75" s="17">
        <f>IF(AN75=21,J75,0)</f>
        <v>0</v>
      </c>
      <c r="AN75" s="31">
        <v>21</v>
      </c>
      <c r="AO75" s="31">
        <f>G75*0.0807817589576547</f>
        <v>0</v>
      </c>
      <c r="AP75" s="31">
        <f>G75*(1-0.0807817589576547)</f>
        <v>0</v>
      </c>
      <c r="AQ75" s="28" t="s">
        <v>12</v>
      </c>
      <c r="AV75" s="31">
        <f>AW75+AX75</f>
        <v>0</v>
      </c>
      <c r="AW75" s="31">
        <f>F75*AO75</f>
        <v>0</v>
      </c>
      <c r="AX75" s="31">
        <f>F75*AP75</f>
        <v>0</v>
      </c>
      <c r="AY75" s="32" t="s">
        <v>472</v>
      </c>
      <c r="AZ75" s="32" t="s">
        <v>479</v>
      </c>
      <c r="BA75" s="25" t="s">
        <v>482</v>
      </c>
      <c r="BC75" s="31">
        <f>AW75+AX75</f>
        <v>0</v>
      </c>
      <c r="BD75" s="31">
        <f>G75/(100-BE75)*100</f>
        <v>0</v>
      </c>
      <c r="BE75" s="31">
        <v>0</v>
      </c>
      <c r="BF75" s="31">
        <f>L75</f>
        <v>0</v>
      </c>
      <c r="BH75" s="17">
        <f>F75*AO75</f>
        <v>0</v>
      </c>
      <c r="BI75" s="17">
        <f>F75*AP75</f>
        <v>0</v>
      </c>
      <c r="BJ75" s="17">
        <f>F75*G75</f>
        <v>0</v>
      </c>
    </row>
    <row r="76" spans="1:62">
      <c r="D76" s="66" t="s">
        <v>281</v>
      </c>
      <c r="F76" s="18">
        <v>275</v>
      </c>
    </row>
    <row r="77" spans="1:62">
      <c r="A77" s="4" t="s">
        <v>36</v>
      </c>
      <c r="B77" s="4"/>
      <c r="C77" s="4" t="s">
        <v>142</v>
      </c>
      <c r="D77" s="65" t="s">
        <v>282</v>
      </c>
      <c r="E77" s="4" t="s">
        <v>437</v>
      </c>
      <c r="F77" s="17">
        <v>275</v>
      </c>
      <c r="G77" s="17">
        <v>0</v>
      </c>
      <c r="H77" s="17">
        <f>F77*AO77</f>
        <v>0</v>
      </c>
      <c r="I77" s="17">
        <f>F77*AP77</f>
        <v>0</v>
      </c>
      <c r="J77" s="17">
        <f>F77*G77</f>
        <v>0</v>
      </c>
      <c r="K77" s="17">
        <v>0</v>
      </c>
      <c r="L77" s="17">
        <f>F77*K77</f>
        <v>0</v>
      </c>
      <c r="M77" s="28" t="s">
        <v>462</v>
      </c>
      <c r="Z77" s="31">
        <f>IF(AQ77="5",BJ77,0)</f>
        <v>0</v>
      </c>
      <c r="AB77" s="31">
        <f>IF(AQ77="1",BH77,0)</f>
        <v>0</v>
      </c>
      <c r="AC77" s="31">
        <f>IF(AQ77="1",BI77,0)</f>
        <v>0</v>
      </c>
      <c r="AD77" s="31">
        <f>IF(AQ77="7",BH77,0)</f>
        <v>0</v>
      </c>
      <c r="AE77" s="31">
        <f>IF(AQ77="7",BI77,0)</f>
        <v>0</v>
      </c>
      <c r="AF77" s="31">
        <f>IF(AQ77="2",BH77,0)</f>
        <v>0</v>
      </c>
      <c r="AG77" s="31">
        <f>IF(AQ77="2",BI77,0)</f>
        <v>0</v>
      </c>
      <c r="AH77" s="31">
        <f>IF(AQ77="0",BJ77,0)</f>
        <v>0</v>
      </c>
      <c r="AI77" s="25"/>
      <c r="AJ77" s="17">
        <f>IF(AN77=0,J77,0)</f>
        <v>0</v>
      </c>
      <c r="AK77" s="17">
        <f>IF(AN77=15,J77,0)</f>
        <v>0</v>
      </c>
      <c r="AL77" s="17">
        <f>IF(AN77=21,J77,0)</f>
        <v>0</v>
      </c>
      <c r="AN77" s="31">
        <v>21</v>
      </c>
      <c r="AO77" s="31">
        <f>G77*0</f>
        <v>0</v>
      </c>
      <c r="AP77" s="31">
        <f>G77*(1-0)</f>
        <v>0</v>
      </c>
      <c r="AQ77" s="28" t="s">
        <v>12</v>
      </c>
      <c r="AV77" s="31">
        <f>AW77+AX77</f>
        <v>0</v>
      </c>
      <c r="AW77" s="31">
        <f>F77*AO77</f>
        <v>0</v>
      </c>
      <c r="AX77" s="31">
        <f>F77*AP77</f>
        <v>0</v>
      </c>
      <c r="AY77" s="32" t="s">
        <v>472</v>
      </c>
      <c r="AZ77" s="32" t="s">
        <v>479</v>
      </c>
      <c r="BA77" s="25" t="s">
        <v>482</v>
      </c>
      <c r="BC77" s="31">
        <f>AW77+AX77</f>
        <v>0</v>
      </c>
      <c r="BD77" s="31">
        <f>G77/(100-BE77)*100</f>
        <v>0</v>
      </c>
      <c r="BE77" s="31">
        <v>0</v>
      </c>
      <c r="BF77" s="31">
        <f>L77</f>
        <v>0</v>
      </c>
      <c r="BH77" s="17">
        <f>F77*AO77</f>
        <v>0</v>
      </c>
      <c r="BI77" s="17">
        <f>F77*AP77</f>
        <v>0</v>
      </c>
      <c r="BJ77" s="17">
        <f>F77*G77</f>
        <v>0</v>
      </c>
    </row>
    <row r="78" spans="1:62">
      <c r="D78" s="66" t="s">
        <v>281</v>
      </c>
      <c r="F78" s="18">
        <v>275</v>
      </c>
    </row>
    <row r="79" spans="1:62">
      <c r="A79" s="4" t="s">
        <v>37</v>
      </c>
      <c r="B79" s="4"/>
      <c r="C79" s="4" t="s">
        <v>143</v>
      </c>
      <c r="D79" s="65" t="s">
        <v>283</v>
      </c>
      <c r="E79" s="4" t="s">
        <v>439</v>
      </c>
      <c r="F79" s="17">
        <v>7.2</v>
      </c>
      <c r="G79" s="17">
        <v>0</v>
      </c>
      <c r="H79" s="17">
        <f>F79*AO79</f>
        <v>0</v>
      </c>
      <c r="I79" s="17">
        <f>F79*AP79</f>
        <v>0</v>
      </c>
      <c r="J79" s="17">
        <f>F79*G79</f>
        <v>0</v>
      </c>
      <c r="K79" s="17">
        <v>0</v>
      </c>
      <c r="L79" s="17">
        <f>F79*K79</f>
        <v>0</v>
      </c>
      <c r="M79" s="28" t="s">
        <v>462</v>
      </c>
      <c r="Z79" s="31">
        <f>IF(AQ79="5",BJ79,0)</f>
        <v>0</v>
      </c>
      <c r="AB79" s="31">
        <f>IF(AQ79="1",BH79,0)</f>
        <v>0</v>
      </c>
      <c r="AC79" s="31">
        <f>IF(AQ79="1",BI79,0)</f>
        <v>0</v>
      </c>
      <c r="AD79" s="31">
        <f>IF(AQ79="7",BH79,0)</f>
        <v>0</v>
      </c>
      <c r="AE79" s="31">
        <f>IF(AQ79="7",BI79,0)</f>
        <v>0</v>
      </c>
      <c r="AF79" s="31">
        <f>IF(AQ79="2",BH79,0)</f>
        <v>0</v>
      </c>
      <c r="AG79" s="31">
        <f>IF(AQ79="2",BI79,0)</f>
        <v>0</v>
      </c>
      <c r="AH79" s="31">
        <f>IF(AQ79="0",BJ79,0)</f>
        <v>0</v>
      </c>
      <c r="AI79" s="25"/>
      <c r="AJ79" s="17">
        <f>IF(AN79=0,J79,0)</f>
        <v>0</v>
      </c>
      <c r="AK79" s="17">
        <f>IF(AN79=15,J79,0)</f>
        <v>0</v>
      </c>
      <c r="AL79" s="17">
        <f>IF(AN79=21,J79,0)</f>
        <v>0</v>
      </c>
      <c r="AN79" s="31">
        <v>21</v>
      </c>
      <c r="AO79" s="31">
        <f>G79*0</f>
        <v>0</v>
      </c>
      <c r="AP79" s="31">
        <f>G79*(1-0)</f>
        <v>0</v>
      </c>
      <c r="AQ79" s="28" t="s">
        <v>10</v>
      </c>
      <c r="AV79" s="31">
        <f>AW79+AX79</f>
        <v>0</v>
      </c>
      <c r="AW79" s="31">
        <f>F79*AO79</f>
        <v>0</v>
      </c>
      <c r="AX79" s="31">
        <f>F79*AP79</f>
        <v>0</v>
      </c>
      <c r="AY79" s="32" t="s">
        <v>472</v>
      </c>
      <c r="AZ79" s="32" t="s">
        <v>479</v>
      </c>
      <c r="BA79" s="25" t="s">
        <v>482</v>
      </c>
      <c r="BC79" s="31">
        <f>AW79+AX79</f>
        <v>0</v>
      </c>
      <c r="BD79" s="31">
        <f>G79/(100-BE79)*100</f>
        <v>0</v>
      </c>
      <c r="BE79" s="31">
        <v>0</v>
      </c>
      <c r="BF79" s="31">
        <f>L79</f>
        <v>0</v>
      </c>
      <c r="BH79" s="17">
        <f>F79*AO79</f>
        <v>0</v>
      </c>
      <c r="BI79" s="17">
        <f>F79*AP79</f>
        <v>0</v>
      </c>
      <c r="BJ79" s="17">
        <f>F79*G79</f>
        <v>0</v>
      </c>
    </row>
    <row r="80" spans="1:62">
      <c r="D80" s="66" t="s">
        <v>284</v>
      </c>
      <c r="F80" s="18">
        <v>7.2</v>
      </c>
    </row>
    <row r="81" spans="1:62">
      <c r="A81" s="5"/>
      <c r="B81" s="12"/>
      <c r="C81" s="12" t="s">
        <v>144</v>
      </c>
      <c r="D81" s="67" t="s">
        <v>285</v>
      </c>
      <c r="E81" s="5" t="s">
        <v>5</v>
      </c>
      <c r="F81" s="5" t="s">
        <v>5</v>
      </c>
      <c r="G81" s="5" t="s">
        <v>5</v>
      </c>
      <c r="H81" s="34">
        <f>SUM(H82:H166)</f>
        <v>0</v>
      </c>
      <c r="I81" s="34">
        <f>SUM(I82:I166)</f>
        <v>0</v>
      </c>
      <c r="J81" s="34">
        <f>SUM(J82:J166)</f>
        <v>0</v>
      </c>
      <c r="K81" s="25"/>
      <c r="L81" s="34">
        <f>SUM(L82:L166)</f>
        <v>9.9352999999999998</v>
      </c>
      <c r="M81" s="25"/>
      <c r="AI81" s="25"/>
      <c r="AS81" s="34">
        <f>SUM(AJ82:AJ166)</f>
        <v>0</v>
      </c>
      <c r="AT81" s="34">
        <f>SUM(AK82:AK166)</f>
        <v>0</v>
      </c>
      <c r="AU81" s="34">
        <f>SUM(AL82:AL166)</f>
        <v>0</v>
      </c>
    </row>
    <row r="82" spans="1:62">
      <c r="A82" s="4" t="s">
        <v>38</v>
      </c>
      <c r="B82" s="4"/>
      <c r="C82" s="4" t="s">
        <v>145</v>
      </c>
      <c r="D82" s="65" t="s">
        <v>286</v>
      </c>
      <c r="E82" s="4" t="s">
        <v>435</v>
      </c>
      <c r="F82" s="17">
        <v>120</v>
      </c>
      <c r="G82" s="17">
        <v>0</v>
      </c>
      <c r="H82" s="17">
        <f>F82*AO82</f>
        <v>0</v>
      </c>
      <c r="I82" s="17">
        <f>F82*AP82</f>
        <v>0</v>
      </c>
      <c r="J82" s="17">
        <f>F82*G82</f>
        <v>0</v>
      </c>
      <c r="K82" s="17">
        <v>0</v>
      </c>
      <c r="L82" s="17">
        <f>F82*K82</f>
        <v>0</v>
      </c>
      <c r="M82" s="28"/>
      <c r="Z82" s="31">
        <f>IF(AQ82="5",BJ82,0)</f>
        <v>0</v>
      </c>
      <c r="AB82" s="31">
        <f>IF(AQ82="1",BH82,0)</f>
        <v>0</v>
      </c>
      <c r="AC82" s="31">
        <f>IF(AQ82="1",BI82,0)</f>
        <v>0</v>
      </c>
      <c r="AD82" s="31">
        <f>IF(AQ82="7",BH82,0)</f>
        <v>0</v>
      </c>
      <c r="AE82" s="31">
        <f>IF(AQ82="7",BI82,0)</f>
        <v>0</v>
      </c>
      <c r="AF82" s="31">
        <f>IF(AQ82="2",BH82,0)</f>
        <v>0</v>
      </c>
      <c r="AG82" s="31">
        <f>IF(AQ82="2",BI82,0)</f>
        <v>0</v>
      </c>
      <c r="AH82" s="31">
        <f>IF(AQ82="0",BJ82,0)</f>
        <v>0</v>
      </c>
      <c r="AI82" s="25"/>
      <c r="AJ82" s="17">
        <f>IF(AN82=0,J82,0)</f>
        <v>0</v>
      </c>
      <c r="AK82" s="17">
        <f>IF(AN82=15,J82,0)</f>
        <v>0</v>
      </c>
      <c r="AL82" s="17">
        <f>IF(AN82=21,J82,0)</f>
        <v>0</v>
      </c>
      <c r="AN82" s="31">
        <v>21</v>
      </c>
      <c r="AO82" s="31">
        <f>G82*0</f>
        <v>0</v>
      </c>
      <c r="AP82" s="31">
        <f>G82*(1-0)</f>
        <v>0</v>
      </c>
      <c r="AQ82" s="28" t="s">
        <v>12</v>
      </c>
      <c r="AV82" s="31">
        <f>AW82+AX82</f>
        <v>0</v>
      </c>
      <c r="AW82" s="31">
        <f>F82*AO82</f>
        <v>0</v>
      </c>
      <c r="AX82" s="31">
        <f>F82*AP82</f>
        <v>0</v>
      </c>
      <c r="AY82" s="32" t="s">
        <v>473</v>
      </c>
      <c r="AZ82" s="32" t="s">
        <v>479</v>
      </c>
      <c r="BA82" s="25" t="s">
        <v>482</v>
      </c>
      <c r="BC82" s="31">
        <f>AW82+AX82</f>
        <v>0</v>
      </c>
      <c r="BD82" s="31">
        <f>G82/(100-BE82)*100</f>
        <v>0</v>
      </c>
      <c r="BE82" s="31">
        <v>0</v>
      </c>
      <c r="BF82" s="31">
        <f>L82</f>
        <v>0</v>
      </c>
      <c r="BH82" s="17">
        <f>F82*AO82</f>
        <v>0</v>
      </c>
      <c r="BI82" s="17">
        <f>F82*AP82</f>
        <v>0</v>
      </c>
      <c r="BJ82" s="17">
        <f>F82*G82</f>
        <v>0</v>
      </c>
    </row>
    <row r="83" spans="1:62">
      <c r="D83" s="66" t="s">
        <v>225</v>
      </c>
      <c r="F83" s="18">
        <v>120</v>
      </c>
    </row>
    <row r="84" spans="1:62">
      <c r="A84" s="4" t="s">
        <v>39</v>
      </c>
      <c r="B84" s="4"/>
      <c r="C84" s="4" t="s">
        <v>146</v>
      </c>
      <c r="D84" s="65" t="s">
        <v>226</v>
      </c>
      <c r="E84" s="4" t="s">
        <v>435</v>
      </c>
      <c r="F84" s="17">
        <v>3</v>
      </c>
      <c r="G84" s="17">
        <v>0</v>
      </c>
      <c r="H84" s="17">
        <f>F84*AO84</f>
        <v>0</v>
      </c>
      <c r="I84" s="17">
        <f>F84*AP84</f>
        <v>0</v>
      </c>
      <c r="J84" s="17">
        <f>F84*G84</f>
        <v>0</v>
      </c>
      <c r="K84" s="17">
        <v>1E-4</v>
      </c>
      <c r="L84" s="17">
        <f>F84*K84</f>
        <v>3.0000000000000003E-4</v>
      </c>
      <c r="M84" s="28"/>
      <c r="Z84" s="31">
        <f>IF(AQ84="5",BJ84,0)</f>
        <v>0</v>
      </c>
      <c r="AB84" s="31">
        <f>IF(AQ84="1",BH84,0)</f>
        <v>0</v>
      </c>
      <c r="AC84" s="31">
        <f>IF(AQ84="1",BI84,0)</f>
        <v>0</v>
      </c>
      <c r="AD84" s="31">
        <f>IF(AQ84="7",BH84,0)</f>
        <v>0</v>
      </c>
      <c r="AE84" s="31">
        <f>IF(AQ84="7",BI84,0)</f>
        <v>0</v>
      </c>
      <c r="AF84" s="31">
        <f>IF(AQ84="2",BH84,0)</f>
        <v>0</v>
      </c>
      <c r="AG84" s="31">
        <f>IF(AQ84="2",BI84,0)</f>
        <v>0</v>
      </c>
      <c r="AH84" s="31">
        <f>IF(AQ84="0",BJ84,0)</f>
        <v>0</v>
      </c>
      <c r="AI84" s="25"/>
      <c r="AJ84" s="17">
        <f>IF(AN84=0,J84,0)</f>
        <v>0</v>
      </c>
      <c r="AK84" s="17">
        <f>IF(AN84=15,J84,0)</f>
        <v>0</v>
      </c>
      <c r="AL84" s="17">
        <f>IF(AN84=21,J84,0)</f>
        <v>0</v>
      </c>
      <c r="AN84" s="31">
        <v>21</v>
      </c>
      <c r="AO84" s="31">
        <f>G84*0</f>
        <v>0</v>
      </c>
      <c r="AP84" s="31">
        <f>G84*(1-0)</f>
        <v>0</v>
      </c>
      <c r="AQ84" s="28" t="s">
        <v>12</v>
      </c>
      <c r="AV84" s="31">
        <f>AW84+AX84</f>
        <v>0</v>
      </c>
      <c r="AW84" s="31">
        <f>F84*AO84</f>
        <v>0</v>
      </c>
      <c r="AX84" s="31">
        <f>F84*AP84</f>
        <v>0</v>
      </c>
      <c r="AY84" s="32" t="s">
        <v>473</v>
      </c>
      <c r="AZ84" s="32" t="s">
        <v>479</v>
      </c>
      <c r="BA84" s="25" t="s">
        <v>482</v>
      </c>
      <c r="BC84" s="31">
        <f>AW84+AX84</f>
        <v>0</v>
      </c>
      <c r="BD84" s="31">
        <f>G84/(100-BE84)*100</f>
        <v>0</v>
      </c>
      <c r="BE84" s="31">
        <v>0</v>
      </c>
      <c r="BF84" s="31">
        <f>L84</f>
        <v>3.0000000000000003E-4</v>
      </c>
      <c r="BH84" s="17">
        <f>F84*AO84</f>
        <v>0</v>
      </c>
      <c r="BI84" s="17">
        <f>F84*AP84</f>
        <v>0</v>
      </c>
      <c r="BJ84" s="17">
        <f>F84*G84</f>
        <v>0</v>
      </c>
    </row>
    <row r="85" spans="1:62">
      <c r="D85" s="66" t="s">
        <v>227</v>
      </c>
      <c r="F85" s="18">
        <v>3</v>
      </c>
    </row>
    <row r="86" spans="1:62" ht="25.5">
      <c r="A86" s="4" t="s">
        <v>40</v>
      </c>
      <c r="B86" s="4"/>
      <c r="C86" s="4" t="s">
        <v>147</v>
      </c>
      <c r="D86" s="65" t="s">
        <v>287</v>
      </c>
      <c r="E86" s="4" t="s">
        <v>437</v>
      </c>
      <c r="F86" s="17">
        <v>215</v>
      </c>
      <c r="G86" s="17">
        <v>0</v>
      </c>
      <c r="H86" s="17">
        <f>F86*AO86</f>
        <v>0</v>
      </c>
      <c r="I86" s="17">
        <f>F86*AP86</f>
        <v>0</v>
      </c>
      <c r="J86" s="17">
        <f>F86*G86</f>
        <v>0</v>
      </c>
      <c r="K86" s="17">
        <v>4.2999999999999999E-4</v>
      </c>
      <c r="L86" s="17">
        <f>F86*K86</f>
        <v>9.2450000000000004E-2</v>
      </c>
      <c r="M86" s="28" t="s">
        <v>462</v>
      </c>
      <c r="Z86" s="31">
        <f>IF(AQ86="5",BJ86,0)</f>
        <v>0</v>
      </c>
      <c r="AB86" s="31">
        <f>IF(AQ86="1",BH86,0)</f>
        <v>0</v>
      </c>
      <c r="AC86" s="31">
        <f>IF(AQ86="1",BI86,0)</f>
        <v>0</v>
      </c>
      <c r="AD86" s="31">
        <f>IF(AQ86="7",BH86,0)</f>
        <v>0</v>
      </c>
      <c r="AE86" s="31">
        <f>IF(AQ86="7",BI86,0)</f>
        <v>0</v>
      </c>
      <c r="AF86" s="31">
        <f>IF(AQ86="2",BH86,0)</f>
        <v>0</v>
      </c>
      <c r="AG86" s="31">
        <f>IF(AQ86="2",BI86,0)</f>
        <v>0</v>
      </c>
      <c r="AH86" s="31">
        <f>IF(AQ86="0",BJ86,0)</f>
        <v>0</v>
      </c>
      <c r="AI86" s="25"/>
      <c r="AJ86" s="17">
        <f>IF(AN86=0,J86,0)</f>
        <v>0</v>
      </c>
      <c r="AK86" s="17">
        <f>IF(AN86=15,J86,0)</f>
        <v>0</v>
      </c>
      <c r="AL86" s="17">
        <f>IF(AN86=21,J86,0)</f>
        <v>0</v>
      </c>
      <c r="AN86" s="31">
        <v>21</v>
      </c>
      <c r="AO86" s="31">
        <f>G86*0.391831578947368</f>
        <v>0</v>
      </c>
      <c r="AP86" s="31">
        <f>G86*(1-0.391831578947368)</f>
        <v>0</v>
      </c>
      <c r="AQ86" s="28" t="s">
        <v>12</v>
      </c>
      <c r="AV86" s="31">
        <f>AW86+AX86</f>
        <v>0</v>
      </c>
      <c r="AW86" s="31">
        <f>F86*AO86</f>
        <v>0</v>
      </c>
      <c r="AX86" s="31">
        <f>F86*AP86</f>
        <v>0</v>
      </c>
      <c r="AY86" s="32" t="s">
        <v>473</v>
      </c>
      <c r="AZ86" s="32" t="s">
        <v>479</v>
      </c>
      <c r="BA86" s="25" t="s">
        <v>482</v>
      </c>
      <c r="BC86" s="31">
        <f>AW86+AX86</f>
        <v>0</v>
      </c>
      <c r="BD86" s="31">
        <f>G86/(100-BE86)*100</f>
        <v>0</v>
      </c>
      <c r="BE86" s="31">
        <v>0</v>
      </c>
      <c r="BF86" s="31">
        <f>L86</f>
        <v>9.2450000000000004E-2</v>
      </c>
      <c r="BH86" s="17">
        <f>F86*AO86</f>
        <v>0</v>
      </c>
      <c r="BI86" s="17">
        <f>F86*AP86</f>
        <v>0</v>
      </c>
      <c r="BJ86" s="17">
        <f>F86*G86</f>
        <v>0</v>
      </c>
    </row>
    <row r="87" spans="1:62">
      <c r="D87" s="66" t="s">
        <v>288</v>
      </c>
      <c r="F87" s="18">
        <v>215</v>
      </c>
    </row>
    <row r="88" spans="1:62" ht="25.5">
      <c r="A88" s="4" t="s">
        <v>41</v>
      </c>
      <c r="B88" s="4"/>
      <c r="C88" s="4" t="s">
        <v>148</v>
      </c>
      <c r="D88" s="65" t="s">
        <v>289</v>
      </c>
      <c r="E88" s="4" t="s">
        <v>437</v>
      </c>
      <c r="F88" s="17">
        <v>135</v>
      </c>
      <c r="G88" s="17">
        <v>0</v>
      </c>
      <c r="H88" s="17">
        <f>F88*AO88</f>
        <v>0</v>
      </c>
      <c r="I88" s="17">
        <f>F88*AP88</f>
        <v>0</v>
      </c>
      <c r="J88" s="17">
        <f>F88*G88</f>
        <v>0</v>
      </c>
      <c r="K88" s="17">
        <v>5.2999999999999998E-4</v>
      </c>
      <c r="L88" s="17">
        <f>F88*K88</f>
        <v>7.1550000000000002E-2</v>
      </c>
      <c r="M88" s="28" t="s">
        <v>462</v>
      </c>
      <c r="Z88" s="31">
        <f>IF(AQ88="5",BJ88,0)</f>
        <v>0</v>
      </c>
      <c r="AB88" s="31">
        <f>IF(AQ88="1",BH88,0)</f>
        <v>0</v>
      </c>
      <c r="AC88" s="31">
        <f>IF(AQ88="1",BI88,0)</f>
        <v>0</v>
      </c>
      <c r="AD88" s="31">
        <f>IF(AQ88="7",BH88,0)</f>
        <v>0</v>
      </c>
      <c r="AE88" s="31">
        <f>IF(AQ88="7",BI88,0)</f>
        <v>0</v>
      </c>
      <c r="AF88" s="31">
        <f>IF(AQ88="2",BH88,0)</f>
        <v>0</v>
      </c>
      <c r="AG88" s="31">
        <f>IF(AQ88="2",BI88,0)</f>
        <v>0</v>
      </c>
      <c r="AH88" s="31">
        <f>IF(AQ88="0",BJ88,0)</f>
        <v>0</v>
      </c>
      <c r="AI88" s="25"/>
      <c r="AJ88" s="17">
        <f>IF(AN88=0,J88,0)</f>
        <v>0</v>
      </c>
      <c r="AK88" s="17">
        <f>IF(AN88=15,J88,0)</f>
        <v>0</v>
      </c>
      <c r="AL88" s="17">
        <f>IF(AN88=21,J88,0)</f>
        <v>0</v>
      </c>
      <c r="AN88" s="31">
        <v>21</v>
      </c>
      <c r="AO88" s="31">
        <f>G88*0.455724381625442</f>
        <v>0</v>
      </c>
      <c r="AP88" s="31">
        <f>G88*(1-0.455724381625442)</f>
        <v>0</v>
      </c>
      <c r="AQ88" s="28" t="s">
        <v>12</v>
      </c>
      <c r="AV88" s="31">
        <f>AW88+AX88</f>
        <v>0</v>
      </c>
      <c r="AW88" s="31">
        <f>F88*AO88</f>
        <v>0</v>
      </c>
      <c r="AX88" s="31">
        <f>F88*AP88</f>
        <v>0</v>
      </c>
      <c r="AY88" s="32" t="s">
        <v>473</v>
      </c>
      <c r="AZ88" s="32" t="s">
        <v>479</v>
      </c>
      <c r="BA88" s="25" t="s">
        <v>482</v>
      </c>
      <c r="BC88" s="31">
        <f>AW88+AX88</f>
        <v>0</v>
      </c>
      <c r="BD88" s="31">
        <f>G88/(100-BE88)*100</f>
        <v>0</v>
      </c>
      <c r="BE88" s="31">
        <v>0</v>
      </c>
      <c r="BF88" s="31">
        <f>L88</f>
        <v>7.1550000000000002E-2</v>
      </c>
      <c r="BH88" s="17">
        <f>F88*AO88</f>
        <v>0</v>
      </c>
      <c r="BI88" s="17">
        <f>F88*AP88</f>
        <v>0</v>
      </c>
      <c r="BJ88" s="17">
        <f>F88*G88</f>
        <v>0</v>
      </c>
    </row>
    <row r="89" spans="1:62">
      <c r="D89" s="66" t="s">
        <v>290</v>
      </c>
      <c r="F89" s="18">
        <v>135</v>
      </c>
    </row>
    <row r="90" spans="1:62" ht="25.5">
      <c r="A90" s="4" t="s">
        <v>42</v>
      </c>
      <c r="B90" s="4"/>
      <c r="C90" s="4" t="s">
        <v>149</v>
      </c>
      <c r="D90" s="65" t="s">
        <v>291</v>
      </c>
      <c r="E90" s="4" t="s">
        <v>437</v>
      </c>
      <c r="F90" s="17">
        <v>105</v>
      </c>
      <c r="G90" s="17">
        <v>0</v>
      </c>
      <c r="H90" s="17">
        <f>F90*AO90</f>
        <v>0</v>
      </c>
      <c r="I90" s="17">
        <f>F90*AP90</f>
        <v>0</v>
      </c>
      <c r="J90" s="17">
        <f>F90*G90</f>
        <v>0</v>
      </c>
      <c r="K90" s="17">
        <v>7.2999999999999996E-4</v>
      </c>
      <c r="L90" s="17">
        <f>F90*K90</f>
        <v>7.6649999999999996E-2</v>
      </c>
      <c r="M90" s="28" t="s">
        <v>462</v>
      </c>
      <c r="Z90" s="31">
        <f>IF(AQ90="5",BJ90,0)</f>
        <v>0</v>
      </c>
      <c r="AB90" s="31">
        <f>IF(AQ90="1",BH90,0)</f>
        <v>0</v>
      </c>
      <c r="AC90" s="31">
        <f>IF(AQ90="1",BI90,0)</f>
        <v>0</v>
      </c>
      <c r="AD90" s="31">
        <f>IF(AQ90="7",BH90,0)</f>
        <v>0</v>
      </c>
      <c r="AE90" s="31">
        <f>IF(AQ90="7",BI90,0)</f>
        <v>0</v>
      </c>
      <c r="AF90" s="31">
        <f>IF(AQ90="2",BH90,0)</f>
        <v>0</v>
      </c>
      <c r="AG90" s="31">
        <f>IF(AQ90="2",BI90,0)</f>
        <v>0</v>
      </c>
      <c r="AH90" s="31">
        <f>IF(AQ90="0",BJ90,0)</f>
        <v>0</v>
      </c>
      <c r="AI90" s="25"/>
      <c r="AJ90" s="17">
        <f>IF(AN90=0,J90,0)</f>
        <v>0</v>
      </c>
      <c r="AK90" s="17">
        <f>IF(AN90=15,J90,0)</f>
        <v>0</v>
      </c>
      <c r="AL90" s="17">
        <f>IF(AN90=21,J90,0)</f>
        <v>0</v>
      </c>
      <c r="AN90" s="31">
        <v>21</v>
      </c>
      <c r="AO90" s="31">
        <f>G90*0.534390243902439</f>
        <v>0</v>
      </c>
      <c r="AP90" s="31">
        <f>G90*(1-0.534390243902439)</f>
        <v>0</v>
      </c>
      <c r="AQ90" s="28" t="s">
        <v>12</v>
      </c>
      <c r="AV90" s="31">
        <f>AW90+AX90</f>
        <v>0</v>
      </c>
      <c r="AW90" s="31">
        <f>F90*AO90</f>
        <v>0</v>
      </c>
      <c r="AX90" s="31">
        <f>F90*AP90</f>
        <v>0</v>
      </c>
      <c r="AY90" s="32" t="s">
        <v>473</v>
      </c>
      <c r="AZ90" s="32" t="s">
        <v>479</v>
      </c>
      <c r="BA90" s="25" t="s">
        <v>482</v>
      </c>
      <c r="BC90" s="31">
        <f>AW90+AX90</f>
        <v>0</v>
      </c>
      <c r="BD90" s="31">
        <f>G90/(100-BE90)*100</f>
        <v>0</v>
      </c>
      <c r="BE90" s="31">
        <v>0</v>
      </c>
      <c r="BF90" s="31">
        <f>L90</f>
        <v>7.6649999999999996E-2</v>
      </c>
      <c r="BH90" s="17">
        <f>F90*AO90</f>
        <v>0</v>
      </c>
      <c r="BI90" s="17">
        <f>F90*AP90</f>
        <v>0</v>
      </c>
      <c r="BJ90" s="17">
        <f>F90*G90</f>
        <v>0</v>
      </c>
    </row>
    <row r="91" spans="1:62">
      <c r="D91" s="66" t="s">
        <v>292</v>
      </c>
      <c r="F91" s="18">
        <v>105</v>
      </c>
    </row>
    <row r="92" spans="1:62" ht="25.5">
      <c r="A92" s="4" t="s">
        <v>43</v>
      </c>
      <c r="B92" s="4"/>
      <c r="C92" s="4" t="s">
        <v>150</v>
      </c>
      <c r="D92" s="65" t="s">
        <v>293</v>
      </c>
      <c r="E92" s="4" t="s">
        <v>437</v>
      </c>
      <c r="F92" s="17">
        <v>95</v>
      </c>
      <c r="G92" s="17">
        <v>0</v>
      </c>
      <c r="H92" s="17">
        <f>F92*AO92</f>
        <v>0</v>
      </c>
      <c r="I92" s="17">
        <f>F92*AP92</f>
        <v>0</v>
      </c>
      <c r="J92" s="17">
        <f>F92*G92</f>
        <v>0</v>
      </c>
      <c r="K92" s="17">
        <v>1.0200000000000001E-3</v>
      </c>
      <c r="L92" s="17">
        <f>F92*K92</f>
        <v>9.6900000000000014E-2</v>
      </c>
      <c r="M92" s="28" t="s">
        <v>462</v>
      </c>
      <c r="Z92" s="31">
        <f>IF(AQ92="5",BJ92,0)</f>
        <v>0</v>
      </c>
      <c r="AB92" s="31">
        <f>IF(AQ92="1",BH92,0)</f>
        <v>0</v>
      </c>
      <c r="AC92" s="31">
        <f>IF(AQ92="1",BI92,0)</f>
        <v>0</v>
      </c>
      <c r="AD92" s="31">
        <f>IF(AQ92="7",BH92,0)</f>
        <v>0</v>
      </c>
      <c r="AE92" s="31">
        <f>IF(AQ92="7",BI92,0)</f>
        <v>0</v>
      </c>
      <c r="AF92" s="31">
        <f>IF(AQ92="2",BH92,0)</f>
        <v>0</v>
      </c>
      <c r="AG92" s="31">
        <f>IF(AQ92="2",BI92,0)</f>
        <v>0</v>
      </c>
      <c r="AH92" s="31">
        <f>IF(AQ92="0",BJ92,0)</f>
        <v>0</v>
      </c>
      <c r="AI92" s="25"/>
      <c r="AJ92" s="17">
        <f>IF(AN92=0,J92,0)</f>
        <v>0</v>
      </c>
      <c r="AK92" s="17">
        <f>IF(AN92=15,J92,0)</f>
        <v>0</v>
      </c>
      <c r="AL92" s="17">
        <f>IF(AN92=21,J92,0)</f>
        <v>0</v>
      </c>
      <c r="AN92" s="31">
        <v>21</v>
      </c>
      <c r="AO92" s="31">
        <f>G92*0.63963768115942</f>
        <v>0</v>
      </c>
      <c r="AP92" s="31">
        <f>G92*(1-0.63963768115942)</f>
        <v>0</v>
      </c>
      <c r="AQ92" s="28" t="s">
        <v>12</v>
      </c>
      <c r="AV92" s="31">
        <f>AW92+AX92</f>
        <v>0</v>
      </c>
      <c r="AW92" s="31">
        <f>F92*AO92</f>
        <v>0</v>
      </c>
      <c r="AX92" s="31">
        <f>F92*AP92</f>
        <v>0</v>
      </c>
      <c r="AY92" s="32" t="s">
        <v>473</v>
      </c>
      <c r="AZ92" s="32" t="s">
        <v>479</v>
      </c>
      <c r="BA92" s="25" t="s">
        <v>482</v>
      </c>
      <c r="BC92" s="31">
        <f>AW92+AX92</f>
        <v>0</v>
      </c>
      <c r="BD92" s="31">
        <f>G92/(100-BE92)*100</f>
        <v>0</v>
      </c>
      <c r="BE92" s="31">
        <v>0</v>
      </c>
      <c r="BF92" s="31">
        <f>L92</f>
        <v>9.6900000000000014E-2</v>
      </c>
      <c r="BH92" s="17">
        <f>F92*AO92</f>
        <v>0</v>
      </c>
      <c r="BI92" s="17">
        <f>F92*AP92</f>
        <v>0</v>
      </c>
      <c r="BJ92" s="17">
        <f>F92*G92</f>
        <v>0</v>
      </c>
    </row>
    <row r="93" spans="1:62">
      <c r="D93" s="66" t="s">
        <v>294</v>
      </c>
      <c r="F93" s="18">
        <v>95</v>
      </c>
    </row>
    <row r="94" spans="1:62" ht="25.5">
      <c r="A94" s="4" t="s">
        <v>44</v>
      </c>
      <c r="B94" s="4"/>
      <c r="C94" s="4" t="s">
        <v>151</v>
      </c>
      <c r="D94" s="65" t="s">
        <v>295</v>
      </c>
      <c r="E94" s="4" t="s">
        <v>437</v>
      </c>
      <c r="F94" s="17">
        <v>40</v>
      </c>
      <c r="G94" s="17">
        <v>0</v>
      </c>
      <c r="H94" s="17">
        <f>F94*AO94</f>
        <v>0</v>
      </c>
      <c r="I94" s="17">
        <f>F94*AP94</f>
        <v>0</v>
      </c>
      <c r="J94" s="17">
        <f>F94*G94</f>
        <v>0</v>
      </c>
      <c r="K94" s="17">
        <v>1.3799999999999999E-3</v>
      </c>
      <c r="L94" s="17">
        <f>F94*K94</f>
        <v>5.5199999999999999E-2</v>
      </c>
      <c r="M94" s="28" t="s">
        <v>462</v>
      </c>
      <c r="Z94" s="31">
        <f>IF(AQ94="5",BJ94,0)</f>
        <v>0</v>
      </c>
      <c r="AB94" s="31">
        <f>IF(AQ94="1",BH94,0)</f>
        <v>0</v>
      </c>
      <c r="AC94" s="31">
        <f>IF(AQ94="1",BI94,0)</f>
        <v>0</v>
      </c>
      <c r="AD94" s="31">
        <f>IF(AQ94="7",BH94,0)</f>
        <v>0</v>
      </c>
      <c r="AE94" s="31">
        <f>IF(AQ94="7",BI94,0)</f>
        <v>0</v>
      </c>
      <c r="AF94" s="31">
        <f>IF(AQ94="2",BH94,0)</f>
        <v>0</v>
      </c>
      <c r="AG94" s="31">
        <f>IF(AQ94="2",BI94,0)</f>
        <v>0</v>
      </c>
      <c r="AH94" s="31">
        <f>IF(AQ94="0",BJ94,0)</f>
        <v>0</v>
      </c>
      <c r="AI94" s="25"/>
      <c r="AJ94" s="17">
        <f>IF(AN94=0,J94,0)</f>
        <v>0</v>
      </c>
      <c r="AK94" s="17">
        <f>IF(AN94=15,J94,0)</f>
        <v>0</v>
      </c>
      <c r="AL94" s="17">
        <f>IF(AN94=21,J94,0)</f>
        <v>0</v>
      </c>
      <c r="AN94" s="31">
        <v>21</v>
      </c>
      <c r="AO94" s="31">
        <f>G94*0.635761589403974</f>
        <v>0</v>
      </c>
      <c r="AP94" s="31">
        <f>G94*(1-0.635761589403974)</f>
        <v>0</v>
      </c>
      <c r="AQ94" s="28" t="s">
        <v>12</v>
      </c>
      <c r="AV94" s="31">
        <f>AW94+AX94</f>
        <v>0</v>
      </c>
      <c r="AW94" s="31">
        <f>F94*AO94</f>
        <v>0</v>
      </c>
      <c r="AX94" s="31">
        <f>F94*AP94</f>
        <v>0</v>
      </c>
      <c r="AY94" s="32" t="s">
        <v>473</v>
      </c>
      <c r="AZ94" s="32" t="s">
        <v>479</v>
      </c>
      <c r="BA94" s="25" t="s">
        <v>482</v>
      </c>
      <c r="BC94" s="31">
        <f>AW94+AX94</f>
        <v>0</v>
      </c>
      <c r="BD94" s="31">
        <f>G94/(100-BE94)*100</f>
        <v>0</v>
      </c>
      <c r="BE94" s="31">
        <v>0</v>
      </c>
      <c r="BF94" s="31">
        <f>L94</f>
        <v>5.5199999999999999E-2</v>
      </c>
      <c r="BH94" s="17">
        <f>F94*AO94</f>
        <v>0</v>
      </c>
      <c r="BI94" s="17">
        <f>F94*AP94</f>
        <v>0</v>
      </c>
      <c r="BJ94" s="17">
        <f>F94*G94</f>
        <v>0</v>
      </c>
    </row>
    <row r="95" spans="1:62">
      <c r="D95" s="66" t="s">
        <v>296</v>
      </c>
      <c r="F95" s="18">
        <v>40</v>
      </c>
    </row>
    <row r="96" spans="1:62" ht="25.5">
      <c r="A96" s="4" t="s">
        <v>45</v>
      </c>
      <c r="B96" s="4"/>
      <c r="C96" s="4" t="s">
        <v>152</v>
      </c>
      <c r="D96" s="65" t="s">
        <v>297</v>
      </c>
      <c r="E96" s="4" t="s">
        <v>437</v>
      </c>
      <c r="F96" s="17">
        <v>35</v>
      </c>
      <c r="G96" s="17">
        <v>0</v>
      </c>
      <c r="H96" s="17">
        <f>F96*AO96</f>
        <v>0</v>
      </c>
      <c r="I96" s="17">
        <f>F96*AP96</f>
        <v>0</v>
      </c>
      <c r="J96" s="17">
        <f>F96*G96</f>
        <v>0</v>
      </c>
      <c r="K96" s="17">
        <v>2.0999999999999999E-3</v>
      </c>
      <c r="L96" s="17">
        <f>F96*K96</f>
        <v>7.3499999999999996E-2</v>
      </c>
      <c r="M96" s="28" t="s">
        <v>462</v>
      </c>
      <c r="Z96" s="31">
        <f>IF(AQ96="5",BJ96,0)</f>
        <v>0</v>
      </c>
      <c r="AB96" s="31">
        <f>IF(AQ96="1",BH96,0)</f>
        <v>0</v>
      </c>
      <c r="AC96" s="31">
        <f>IF(AQ96="1",BI96,0)</f>
        <v>0</v>
      </c>
      <c r="AD96" s="31">
        <f>IF(AQ96="7",BH96,0)</f>
        <v>0</v>
      </c>
      <c r="AE96" s="31">
        <f>IF(AQ96="7",BI96,0)</f>
        <v>0</v>
      </c>
      <c r="AF96" s="31">
        <f>IF(AQ96="2",BH96,0)</f>
        <v>0</v>
      </c>
      <c r="AG96" s="31">
        <f>IF(AQ96="2",BI96,0)</f>
        <v>0</v>
      </c>
      <c r="AH96" s="31">
        <f>IF(AQ96="0",BJ96,0)</f>
        <v>0</v>
      </c>
      <c r="AI96" s="25"/>
      <c r="AJ96" s="17">
        <f>IF(AN96=0,J96,0)</f>
        <v>0</v>
      </c>
      <c r="AK96" s="17">
        <f>IF(AN96=15,J96,0)</f>
        <v>0</v>
      </c>
      <c r="AL96" s="17">
        <f>IF(AN96=21,J96,0)</f>
        <v>0</v>
      </c>
      <c r="AN96" s="31">
        <v>21</v>
      </c>
      <c r="AO96" s="31">
        <f>G96*0.697852697095436</f>
        <v>0</v>
      </c>
      <c r="AP96" s="31">
        <f>G96*(1-0.697852697095436)</f>
        <v>0</v>
      </c>
      <c r="AQ96" s="28" t="s">
        <v>12</v>
      </c>
      <c r="AV96" s="31">
        <f>AW96+AX96</f>
        <v>0</v>
      </c>
      <c r="AW96" s="31">
        <f>F96*AO96</f>
        <v>0</v>
      </c>
      <c r="AX96" s="31">
        <f>F96*AP96</f>
        <v>0</v>
      </c>
      <c r="AY96" s="32" t="s">
        <v>473</v>
      </c>
      <c r="AZ96" s="32" t="s">
        <v>479</v>
      </c>
      <c r="BA96" s="25" t="s">
        <v>482</v>
      </c>
      <c r="BC96" s="31">
        <f>AW96+AX96</f>
        <v>0</v>
      </c>
      <c r="BD96" s="31">
        <f>G96/(100-BE96)*100</f>
        <v>0</v>
      </c>
      <c r="BE96" s="31">
        <v>0</v>
      </c>
      <c r="BF96" s="31">
        <f>L96</f>
        <v>7.3499999999999996E-2</v>
      </c>
      <c r="BH96" s="17">
        <f>F96*AO96</f>
        <v>0</v>
      </c>
      <c r="BI96" s="17">
        <f>F96*AP96</f>
        <v>0</v>
      </c>
      <c r="BJ96" s="17">
        <f>F96*G96</f>
        <v>0</v>
      </c>
    </row>
    <row r="97" spans="1:62">
      <c r="D97" s="66" t="s">
        <v>298</v>
      </c>
      <c r="F97" s="18">
        <v>35</v>
      </c>
    </row>
    <row r="98" spans="1:62" ht="25.5">
      <c r="A98" s="4" t="s">
        <v>46</v>
      </c>
      <c r="B98" s="4"/>
      <c r="C98" s="4" t="s">
        <v>153</v>
      </c>
      <c r="D98" s="65" t="s">
        <v>299</v>
      </c>
      <c r="E98" s="4" t="s">
        <v>437</v>
      </c>
      <c r="F98" s="17">
        <v>30</v>
      </c>
      <c r="G98" s="17">
        <v>0</v>
      </c>
      <c r="H98" s="17">
        <f>F98*AO98</f>
        <v>0</v>
      </c>
      <c r="I98" s="17">
        <f>F98*AP98</f>
        <v>0</v>
      </c>
      <c r="J98" s="17">
        <f>F98*G98</f>
        <v>0</v>
      </c>
      <c r="K98" s="17">
        <v>2.5699999999999998E-3</v>
      </c>
      <c r="L98" s="17">
        <f>F98*K98</f>
        <v>7.7099999999999988E-2</v>
      </c>
      <c r="M98" s="28" t="s">
        <v>462</v>
      </c>
      <c r="Z98" s="31">
        <f>IF(AQ98="5",BJ98,0)</f>
        <v>0</v>
      </c>
      <c r="AB98" s="31">
        <f>IF(AQ98="1",BH98,0)</f>
        <v>0</v>
      </c>
      <c r="AC98" s="31">
        <f>IF(AQ98="1",BI98,0)</f>
        <v>0</v>
      </c>
      <c r="AD98" s="31">
        <f>IF(AQ98="7",BH98,0)</f>
        <v>0</v>
      </c>
      <c r="AE98" s="31">
        <f>IF(AQ98="7",BI98,0)</f>
        <v>0</v>
      </c>
      <c r="AF98" s="31">
        <f>IF(AQ98="2",BH98,0)</f>
        <v>0</v>
      </c>
      <c r="AG98" s="31">
        <f>IF(AQ98="2",BI98,0)</f>
        <v>0</v>
      </c>
      <c r="AH98" s="31">
        <f>IF(AQ98="0",BJ98,0)</f>
        <v>0</v>
      </c>
      <c r="AI98" s="25"/>
      <c r="AJ98" s="17">
        <f>IF(AN98=0,J98,0)</f>
        <v>0</v>
      </c>
      <c r="AK98" s="17">
        <f>IF(AN98=15,J98,0)</f>
        <v>0</v>
      </c>
      <c r="AL98" s="17">
        <f>IF(AN98=21,J98,0)</f>
        <v>0</v>
      </c>
      <c r="AN98" s="31">
        <v>21</v>
      </c>
      <c r="AO98" s="31">
        <f>G98*0.754855920632039</f>
        <v>0</v>
      </c>
      <c r="AP98" s="31">
        <f>G98*(1-0.754855920632039)</f>
        <v>0</v>
      </c>
      <c r="AQ98" s="28" t="s">
        <v>12</v>
      </c>
      <c r="AV98" s="31">
        <f>AW98+AX98</f>
        <v>0</v>
      </c>
      <c r="AW98" s="31">
        <f>F98*AO98</f>
        <v>0</v>
      </c>
      <c r="AX98" s="31">
        <f>F98*AP98</f>
        <v>0</v>
      </c>
      <c r="AY98" s="32" t="s">
        <v>473</v>
      </c>
      <c r="AZ98" s="32" t="s">
        <v>479</v>
      </c>
      <c r="BA98" s="25" t="s">
        <v>482</v>
      </c>
      <c r="BC98" s="31">
        <f>AW98+AX98</f>
        <v>0</v>
      </c>
      <c r="BD98" s="31">
        <f>G98/(100-BE98)*100</f>
        <v>0</v>
      </c>
      <c r="BE98" s="31">
        <v>0</v>
      </c>
      <c r="BF98" s="31">
        <f>L98</f>
        <v>7.7099999999999988E-2</v>
      </c>
      <c r="BH98" s="17">
        <f>F98*AO98</f>
        <v>0</v>
      </c>
      <c r="BI98" s="17">
        <f>F98*AP98</f>
        <v>0</v>
      </c>
      <c r="BJ98" s="17">
        <f>F98*G98</f>
        <v>0</v>
      </c>
    </row>
    <row r="99" spans="1:62">
      <c r="D99" s="66" t="s">
        <v>300</v>
      </c>
      <c r="F99" s="18">
        <v>30</v>
      </c>
    </row>
    <row r="100" spans="1:62" ht="25.5">
      <c r="A100" s="4" t="s">
        <v>47</v>
      </c>
      <c r="B100" s="4"/>
      <c r="C100" s="4" t="s">
        <v>154</v>
      </c>
      <c r="D100" s="65" t="s">
        <v>301</v>
      </c>
      <c r="E100" s="4" t="s">
        <v>437</v>
      </c>
      <c r="F100" s="17">
        <v>215</v>
      </c>
      <c r="G100" s="17">
        <v>0</v>
      </c>
      <c r="H100" s="17">
        <f>F100*AO100</f>
        <v>0</v>
      </c>
      <c r="I100" s="17">
        <f>F100*AP100</f>
        <v>0</v>
      </c>
      <c r="J100" s="17">
        <f>F100*G100</f>
        <v>0</v>
      </c>
      <c r="K100" s="17">
        <v>1.0999999999999999E-2</v>
      </c>
      <c r="L100" s="17">
        <f>F100*K100</f>
        <v>2.3649999999999998</v>
      </c>
      <c r="M100" s="28"/>
      <c r="Z100" s="31">
        <f>IF(AQ100="5",BJ100,0)</f>
        <v>0</v>
      </c>
      <c r="AB100" s="31">
        <f>IF(AQ100="1",BH100,0)</f>
        <v>0</v>
      </c>
      <c r="AC100" s="31">
        <f>IF(AQ100="1",BI100,0)</f>
        <v>0</v>
      </c>
      <c r="AD100" s="31">
        <f>IF(AQ100="7",BH100,0)</f>
        <v>0</v>
      </c>
      <c r="AE100" s="31">
        <f>IF(AQ100="7",BI100,0)</f>
        <v>0</v>
      </c>
      <c r="AF100" s="31">
        <f>IF(AQ100="2",BH100,0)</f>
        <v>0</v>
      </c>
      <c r="AG100" s="31">
        <f>IF(AQ100="2",BI100,0)</f>
        <v>0</v>
      </c>
      <c r="AH100" s="31">
        <f>IF(AQ100="0",BJ100,0)</f>
        <v>0</v>
      </c>
      <c r="AI100" s="25"/>
      <c r="AJ100" s="17">
        <f>IF(AN100=0,J100,0)</f>
        <v>0</v>
      </c>
      <c r="AK100" s="17">
        <f>IF(AN100=15,J100,0)</f>
        <v>0</v>
      </c>
      <c r="AL100" s="17">
        <f>IF(AN100=21,J100,0)</f>
        <v>0</v>
      </c>
      <c r="AN100" s="31">
        <v>21</v>
      </c>
      <c r="AO100" s="31">
        <f>G100*0.5</f>
        <v>0</v>
      </c>
      <c r="AP100" s="31">
        <f>G100*(1-0.5)</f>
        <v>0</v>
      </c>
      <c r="AQ100" s="28" t="s">
        <v>12</v>
      </c>
      <c r="AV100" s="31">
        <f>AW100+AX100</f>
        <v>0</v>
      </c>
      <c r="AW100" s="31">
        <f>F100*AO100</f>
        <v>0</v>
      </c>
      <c r="AX100" s="31">
        <f>F100*AP100</f>
        <v>0</v>
      </c>
      <c r="AY100" s="32" t="s">
        <v>473</v>
      </c>
      <c r="AZ100" s="32" t="s">
        <v>479</v>
      </c>
      <c r="BA100" s="25" t="s">
        <v>482</v>
      </c>
      <c r="BC100" s="31">
        <f>AW100+AX100</f>
        <v>0</v>
      </c>
      <c r="BD100" s="31">
        <f>G100/(100-BE100)*100</f>
        <v>0</v>
      </c>
      <c r="BE100" s="31">
        <v>0</v>
      </c>
      <c r="BF100" s="31">
        <f>L100</f>
        <v>2.3649999999999998</v>
      </c>
      <c r="BH100" s="17">
        <f>F100*AO100</f>
        <v>0</v>
      </c>
      <c r="BI100" s="17">
        <f>F100*AP100</f>
        <v>0</v>
      </c>
      <c r="BJ100" s="17">
        <f>F100*G100</f>
        <v>0</v>
      </c>
    </row>
    <row r="101" spans="1:62">
      <c r="D101" s="14" t="s">
        <v>302</v>
      </c>
    </row>
    <row r="102" spans="1:62">
      <c r="D102" s="66" t="s">
        <v>303</v>
      </c>
      <c r="F102" s="18">
        <v>215</v>
      </c>
    </row>
    <row r="103" spans="1:62" ht="25.5">
      <c r="A103" s="4" t="s">
        <v>48</v>
      </c>
      <c r="B103" s="4"/>
      <c r="C103" s="4" t="s">
        <v>155</v>
      </c>
      <c r="D103" s="65" t="s">
        <v>304</v>
      </c>
      <c r="E103" s="4" t="s">
        <v>437</v>
      </c>
      <c r="F103" s="17">
        <v>135</v>
      </c>
      <c r="G103" s="17">
        <v>0</v>
      </c>
      <c r="H103" s="17">
        <f>F103*AO103</f>
        <v>0</v>
      </c>
      <c r="I103" s="17">
        <f>F103*AP103</f>
        <v>0</v>
      </c>
      <c r="J103" s="17">
        <f>F103*G103</f>
        <v>0</v>
      </c>
      <c r="K103" s="17">
        <v>1.2999999999999999E-2</v>
      </c>
      <c r="L103" s="17">
        <f>F103*K103</f>
        <v>1.7549999999999999</v>
      </c>
      <c r="M103" s="28"/>
      <c r="Z103" s="31">
        <f>IF(AQ103="5",BJ103,0)</f>
        <v>0</v>
      </c>
      <c r="AB103" s="31">
        <f>IF(AQ103="1",BH103,0)</f>
        <v>0</v>
      </c>
      <c r="AC103" s="31">
        <f>IF(AQ103="1",BI103,0)</f>
        <v>0</v>
      </c>
      <c r="AD103" s="31">
        <f>IF(AQ103="7",BH103,0)</f>
        <v>0</v>
      </c>
      <c r="AE103" s="31">
        <f>IF(AQ103="7",BI103,0)</f>
        <v>0</v>
      </c>
      <c r="AF103" s="31">
        <f>IF(AQ103="2",BH103,0)</f>
        <v>0</v>
      </c>
      <c r="AG103" s="31">
        <f>IF(AQ103="2",BI103,0)</f>
        <v>0</v>
      </c>
      <c r="AH103" s="31">
        <f>IF(AQ103="0",BJ103,0)</f>
        <v>0</v>
      </c>
      <c r="AI103" s="25"/>
      <c r="AJ103" s="17">
        <f>IF(AN103=0,J103,0)</f>
        <v>0</v>
      </c>
      <c r="AK103" s="17">
        <f>IF(AN103=15,J103,0)</f>
        <v>0</v>
      </c>
      <c r="AL103" s="17">
        <f>IF(AN103=21,J103,0)</f>
        <v>0</v>
      </c>
      <c r="AN103" s="31">
        <v>21</v>
      </c>
      <c r="AO103" s="31">
        <f>G103*0.5</f>
        <v>0</v>
      </c>
      <c r="AP103" s="31">
        <f>G103*(1-0.5)</f>
        <v>0</v>
      </c>
      <c r="AQ103" s="28" t="s">
        <v>12</v>
      </c>
      <c r="AV103" s="31">
        <f>AW103+AX103</f>
        <v>0</v>
      </c>
      <c r="AW103" s="31">
        <f>F103*AO103</f>
        <v>0</v>
      </c>
      <c r="AX103" s="31">
        <f>F103*AP103</f>
        <v>0</v>
      </c>
      <c r="AY103" s="32" t="s">
        <v>473</v>
      </c>
      <c r="AZ103" s="32" t="s">
        <v>479</v>
      </c>
      <c r="BA103" s="25" t="s">
        <v>482</v>
      </c>
      <c r="BC103" s="31">
        <f>AW103+AX103</f>
        <v>0</v>
      </c>
      <c r="BD103" s="31">
        <f>G103/(100-BE103)*100</f>
        <v>0</v>
      </c>
      <c r="BE103" s="31">
        <v>0</v>
      </c>
      <c r="BF103" s="31">
        <f>L103</f>
        <v>1.7549999999999999</v>
      </c>
      <c r="BH103" s="17">
        <f>F103*AO103</f>
        <v>0</v>
      </c>
      <c r="BI103" s="17">
        <f>F103*AP103</f>
        <v>0</v>
      </c>
      <c r="BJ103" s="17">
        <f>F103*G103</f>
        <v>0</v>
      </c>
    </row>
    <row r="104" spans="1:62">
      <c r="D104" s="14" t="s">
        <v>302</v>
      </c>
    </row>
    <row r="105" spans="1:62">
      <c r="D105" s="66" t="s">
        <v>305</v>
      </c>
      <c r="F105" s="18">
        <v>135</v>
      </c>
    </row>
    <row r="106" spans="1:62" ht="25.5">
      <c r="A106" s="4" t="s">
        <v>49</v>
      </c>
      <c r="B106" s="4"/>
      <c r="C106" s="4" t="s">
        <v>156</v>
      </c>
      <c r="D106" s="65" t="s">
        <v>306</v>
      </c>
      <c r="E106" s="4" t="s">
        <v>437</v>
      </c>
      <c r="F106" s="17">
        <v>105</v>
      </c>
      <c r="G106" s="17">
        <v>0</v>
      </c>
      <c r="H106" s="17">
        <f>F106*AO106</f>
        <v>0</v>
      </c>
      <c r="I106" s="17">
        <f>F106*AP106</f>
        <v>0</v>
      </c>
      <c r="J106" s="17">
        <f>F106*G106</f>
        <v>0</v>
      </c>
      <c r="K106" s="17">
        <v>1.2999999999999999E-2</v>
      </c>
      <c r="L106" s="17">
        <f>F106*K106</f>
        <v>1.365</v>
      </c>
      <c r="M106" s="28"/>
      <c r="Z106" s="31">
        <f>IF(AQ106="5",BJ106,0)</f>
        <v>0</v>
      </c>
      <c r="AB106" s="31">
        <f>IF(AQ106="1",BH106,0)</f>
        <v>0</v>
      </c>
      <c r="AC106" s="31">
        <f>IF(AQ106="1",BI106,0)</f>
        <v>0</v>
      </c>
      <c r="AD106" s="31">
        <f>IF(AQ106="7",BH106,0)</f>
        <v>0</v>
      </c>
      <c r="AE106" s="31">
        <f>IF(AQ106="7",BI106,0)</f>
        <v>0</v>
      </c>
      <c r="AF106" s="31">
        <f>IF(AQ106="2",BH106,0)</f>
        <v>0</v>
      </c>
      <c r="AG106" s="31">
        <f>IF(AQ106="2",BI106,0)</f>
        <v>0</v>
      </c>
      <c r="AH106" s="31">
        <f>IF(AQ106="0",BJ106,0)</f>
        <v>0</v>
      </c>
      <c r="AI106" s="25"/>
      <c r="AJ106" s="17">
        <f>IF(AN106=0,J106,0)</f>
        <v>0</v>
      </c>
      <c r="AK106" s="17">
        <f>IF(AN106=15,J106,0)</f>
        <v>0</v>
      </c>
      <c r="AL106" s="17">
        <f>IF(AN106=21,J106,0)</f>
        <v>0</v>
      </c>
      <c r="AN106" s="31">
        <v>21</v>
      </c>
      <c r="AO106" s="31">
        <f>G106*0.5</f>
        <v>0</v>
      </c>
      <c r="AP106" s="31">
        <f>G106*(1-0.5)</f>
        <v>0</v>
      </c>
      <c r="AQ106" s="28" t="s">
        <v>12</v>
      </c>
      <c r="AV106" s="31">
        <f>AW106+AX106</f>
        <v>0</v>
      </c>
      <c r="AW106" s="31">
        <f>F106*AO106</f>
        <v>0</v>
      </c>
      <c r="AX106" s="31">
        <f>F106*AP106</f>
        <v>0</v>
      </c>
      <c r="AY106" s="32" t="s">
        <v>473</v>
      </c>
      <c r="AZ106" s="32" t="s">
        <v>479</v>
      </c>
      <c r="BA106" s="25" t="s">
        <v>482</v>
      </c>
      <c r="BC106" s="31">
        <f>AW106+AX106</f>
        <v>0</v>
      </c>
      <c r="BD106" s="31">
        <f>G106/(100-BE106)*100</f>
        <v>0</v>
      </c>
      <c r="BE106" s="31">
        <v>0</v>
      </c>
      <c r="BF106" s="31">
        <f>L106</f>
        <v>1.365</v>
      </c>
      <c r="BH106" s="17">
        <f>F106*AO106</f>
        <v>0</v>
      </c>
      <c r="BI106" s="17">
        <f>F106*AP106</f>
        <v>0</v>
      </c>
      <c r="BJ106" s="17">
        <f>F106*G106</f>
        <v>0</v>
      </c>
    </row>
    <row r="107" spans="1:62">
      <c r="D107" s="14" t="s">
        <v>302</v>
      </c>
    </row>
    <row r="108" spans="1:62">
      <c r="D108" s="66" t="s">
        <v>307</v>
      </c>
      <c r="F108" s="18">
        <v>105</v>
      </c>
    </row>
    <row r="109" spans="1:62" ht="25.5">
      <c r="A109" s="4" t="s">
        <v>50</v>
      </c>
      <c r="B109" s="4"/>
      <c r="C109" s="4" t="s">
        <v>157</v>
      </c>
      <c r="D109" s="65" t="s">
        <v>308</v>
      </c>
      <c r="E109" s="4" t="s">
        <v>437</v>
      </c>
      <c r="F109" s="17">
        <v>95</v>
      </c>
      <c r="G109" s="17">
        <v>0</v>
      </c>
      <c r="H109" s="17">
        <f>F109*AO109</f>
        <v>0</v>
      </c>
      <c r="I109" s="17">
        <f>F109*AP109</f>
        <v>0</v>
      </c>
      <c r="J109" s="17">
        <f>F109*G109</f>
        <v>0</v>
      </c>
      <c r="K109" s="17">
        <v>1.4E-2</v>
      </c>
      <c r="L109" s="17">
        <f>F109*K109</f>
        <v>1.33</v>
      </c>
      <c r="M109" s="28"/>
      <c r="Z109" s="31">
        <f>IF(AQ109="5",BJ109,0)</f>
        <v>0</v>
      </c>
      <c r="AB109" s="31">
        <f>IF(AQ109="1",BH109,0)</f>
        <v>0</v>
      </c>
      <c r="AC109" s="31">
        <f>IF(AQ109="1",BI109,0)</f>
        <v>0</v>
      </c>
      <c r="AD109" s="31">
        <f>IF(AQ109="7",BH109,0)</f>
        <v>0</v>
      </c>
      <c r="AE109" s="31">
        <f>IF(AQ109="7",BI109,0)</f>
        <v>0</v>
      </c>
      <c r="AF109" s="31">
        <f>IF(AQ109="2",BH109,0)</f>
        <v>0</v>
      </c>
      <c r="AG109" s="31">
        <f>IF(AQ109="2",BI109,0)</f>
        <v>0</v>
      </c>
      <c r="AH109" s="31">
        <f>IF(AQ109="0",BJ109,0)</f>
        <v>0</v>
      </c>
      <c r="AI109" s="25"/>
      <c r="AJ109" s="17">
        <f>IF(AN109=0,J109,0)</f>
        <v>0</v>
      </c>
      <c r="AK109" s="17">
        <f>IF(AN109=15,J109,0)</f>
        <v>0</v>
      </c>
      <c r="AL109" s="17">
        <f>IF(AN109=21,J109,0)</f>
        <v>0</v>
      </c>
      <c r="AN109" s="31">
        <v>21</v>
      </c>
      <c r="AO109" s="31">
        <f>G109*0.5</f>
        <v>0</v>
      </c>
      <c r="AP109" s="31">
        <f>G109*(1-0.5)</f>
        <v>0</v>
      </c>
      <c r="AQ109" s="28" t="s">
        <v>12</v>
      </c>
      <c r="AV109" s="31">
        <f>AW109+AX109</f>
        <v>0</v>
      </c>
      <c r="AW109" s="31">
        <f>F109*AO109</f>
        <v>0</v>
      </c>
      <c r="AX109" s="31">
        <f>F109*AP109</f>
        <v>0</v>
      </c>
      <c r="AY109" s="32" t="s">
        <v>473</v>
      </c>
      <c r="AZ109" s="32" t="s">
        <v>479</v>
      </c>
      <c r="BA109" s="25" t="s">
        <v>482</v>
      </c>
      <c r="BC109" s="31">
        <f>AW109+AX109</f>
        <v>0</v>
      </c>
      <c r="BD109" s="31">
        <f>G109/(100-BE109)*100</f>
        <v>0</v>
      </c>
      <c r="BE109" s="31">
        <v>0</v>
      </c>
      <c r="BF109" s="31">
        <f>L109</f>
        <v>1.33</v>
      </c>
      <c r="BH109" s="17">
        <f>F109*AO109</f>
        <v>0</v>
      </c>
      <c r="BI109" s="17">
        <f>F109*AP109</f>
        <v>0</v>
      </c>
      <c r="BJ109" s="17">
        <f>F109*G109</f>
        <v>0</v>
      </c>
    </row>
    <row r="110" spans="1:62">
      <c r="D110" s="14" t="s">
        <v>302</v>
      </c>
    </row>
    <row r="111" spans="1:62">
      <c r="D111" s="66" t="s">
        <v>309</v>
      </c>
      <c r="F111" s="18">
        <v>95</v>
      </c>
    </row>
    <row r="112" spans="1:62" ht="25.5">
      <c r="A112" s="4" t="s">
        <v>51</v>
      </c>
      <c r="B112" s="4"/>
      <c r="C112" s="4" t="s">
        <v>158</v>
      </c>
      <c r="D112" s="65" t="s">
        <v>310</v>
      </c>
      <c r="E112" s="4" t="s">
        <v>437</v>
      </c>
      <c r="F112" s="17">
        <v>40</v>
      </c>
      <c r="G112" s="17">
        <v>0</v>
      </c>
      <c r="H112" s="17">
        <f>F112*AO112</f>
        <v>0</v>
      </c>
      <c r="I112" s="17">
        <f>F112*AP112</f>
        <v>0</v>
      </c>
      <c r="J112" s="17">
        <f>F112*G112</f>
        <v>0</v>
      </c>
      <c r="K112" s="17">
        <v>1.4999999999999999E-2</v>
      </c>
      <c r="L112" s="17">
        <f>F112*K112</f>
        <v>0.6</v>
      </c>
      <c r="M112" s="28"/>
      <c r="Z112" s="31">
        <f>IF(AQ112="5",BJ112,0)</f>
        <v>0</v>
      </c>
      <c r="AB112" s="31">
        <f>IF(AQ112="1",BH112,0)</f>
        <v>0</v>
      </c>
      <c r="AC112" s="31">
        <f>IF(AQ112="1",BI112,0)</f>
        <v>0</v>
      </c>
      <c r="AD112" s="31">
        <f>IF(AQ112="7",BH112,0)</f>
        <v>0</v>
      </c>
      <c r="AE112" s="31">
        <f>IF(AQ112="7",BI112,0)</f>
        <v>0</v>
      </c>
      <c r="AF112" s="31">
        <f>IF(AQ112="2",BH112,0)</f>
        <v>0</v>
      </c>
      <c r="AG112" s="31">
        <f>IF(AQ112="2",BI112,0)</f>
        <v>0</v>
      </c>
      <c r="AH112" s="31">
        <f>IF(AQ112="0",BJ112,0)</f>
        <v>0</v>
      </c>
      <c r="AI112" s="25"/>
      <c r="AJ112" s="17">
        <f>IF(AN112=0,J112,0)</f>
        <v>0</v>
      </c>
      <c r="AK112" s="17">
        <f>IF(AN112=15,J112,0)</f>
        <v>0</v>
      </c>
      <c r="AL112" s="17">
        <f>IF(AN112=21,J112,0)</f>
        <v>0</v>
      </c>
      <c r="AN112" s="31">
        <v>21</v>
      </c>
      <c r="AO112" s="31">
        <f>G112*0.5</f>
        <v>0</v>
      </c>
      <c r="AP112" s="31">
        <f>G112*(1-0.5)</f>
        <v>0</v>
      </c>
      <c r="AQ112" s="28" t="s">
        <v>12</v>
      </c>
      <c r="AV112" s="31">
        <f>AW112+AX112</f>
        <v>0</v>
      </c>
      <c r="AW112" s="31">
        <f>F112*AO112</f>
        <v>0</v>
      </c>
      <c r="AX112" s="31">
        <f>F112*AP112</f>
        <v>0</v>
      </c>
      <c r="AY112" s="32" t="s">
        <v>473</v>
      </c>
      <c r="AZ112" s="32" t="s">
        <v>479</v>
      </c>
      <c r="BA112" s="25" t="s">
        <v>482</v>
      </c>
      <c r="BC112" s="31">
        <f>AW112+AX112</f>
        <v>0</v>
      </c>
      <c r="BD112" s="31">
        <f>G112/(100-BE112)*100</f>
        <v>0</v>
      </c>
      <c r="BE112" s="31">
        <v>0</v>
      </c>
      <c r="BF112" s="31">
        <f>L112</f>
        <v>0.6</v>
      </c>
      <c r="BH112" s="17">
        <f>F112*AO112</f>
        <v>0</v>
      </c>
      <c r="BI112" s="17">
        <f>F112*AP112</f>
        <v>0</v>
      </c>
      <c r="BJ112" s="17">
        <f>F112*G112</f>
        <v>0</v>
      </c>
    </row>
    <row r="113" spans="1:62">
      <c r="D113" s="14" t="s">
        <v>302</v>
      </c>
    </row>
    <row r="114" spans="1:62">
      <c r="D114" s="66" t="s">
        <v>311</v>
      </c>
      <c r="F114" s="18">
        <v>40</v>
      </c>
    </row>
    <row r="115" spans="1:62" ht="25.5">
      <c r="A115" s="4" t="s">
        <v>52</v>
      </c>
      <c r="B115" s="4"/>
      <c r="C115" s="4" t="s">
        <v>159</v>
      </c>
      <c r="D115" s="65" t="s">
        <v>312</v>
      </c>
      <c r="E115" s="4" t="s">
        <v>437</v>
      </c>
      <c r="F115" s="17">
        <v>35</v>
      </c>
      <c r="G115" s="17">
        <v>0</v>
      </c>
      <c r="H115" s="17">
        <f>F115*AO115</f>
        <v>0</v>
      </c>
      <c r="I115" s="17">
        <f>F115*AP115</f>
        <v>0</v>
      </c>
      <c r="J115" s="17">
        <f>F115*G115</f>
        <v>0</v>
      </c>
      <c r="K115" s="17">
        <v>1.6E-2</v>
      </c>
      <c r="L115" s="17">
        <f>F115*K115</f>
        <v>0.56000000000000005</v>
      </c>
      <c r="M115" s="28"/>
      <c r="Z115" s="31">
        <f>IF(AQ115="5",BJ115,0)</f>
        <v>0</v>
      </c>
      <c r="AB115" s="31">
        <f>IF(AQ115="1",BH115,0)</f>
        <v>0</v>
      </c>
      <c r="AC115" s="31">
        <f>IF(AQ115="1",BI115,0)</f>
        <v>0</v>
      </c>
      <c r="AD115" s="31">
        <f>IF(AQ115="7",BH115,0)</f>
        <v>0</v>
      </c>
      <c r="AE115" s="31">
        <f>IF(AQ115="7",BI115,0)</f>
        <v>0</v>
      </c>
      <c r="AF115" s="31">
        <f>IF(AQ115="2",BH115,0)</f>
        <v>0</v>
      </c>
      <c r="AG115" s="31">
        <f>IF(AQ115="2",BI115,0)</f>
        <v>0</v>
      </c>
      <c r="AH115" s="31">
        <f>IF(AQ115="0",BJ115,0)</f>
        <v>0</v>
      </c>
      <c r="AI115" s="25"/>
      <c r="AJ115" s="17">
        <f>IF(AN115=0,J115,0)</f>
        <v>0</v>
      </c>
      <c r="AK115" s="17">
        <f>IF(AN115=15,J115,0)</f>
        <v>0</v>
      </c>
      <c r="AL115" s="17">
        <f>IF(AN115=21,J115,0)</f>
        <v>0</v>
      </c>
      <c r="AN115" s="31">
        <v>21</v>
      </c>
      <c r="AO115" s="31">
        <f>G115*0.5</f>
        <v>0</v>
      </c>
      <c r="AP115" s="31">
        <f>G115*(1-0.5)</f>
        <v>0</v>
      </c>
      <c r="AQ115" s="28" t="s">
        <v>12</v>
      </c>
      <c r="AV115" s="31">
        <f>AW115+AX115</f>
        <v>0</v>
      </c>
      <c r="AW115" s="31">
        <f>F115*AO115</f>
        <v>0</v>
      </c>
      <c r="AX115" s="31">
        <f>F115*AP115</f>
        <v>0</v>
      </c>
      <c r="AY115" s="32" t="s">
        <v>473</v>
      </c>
      <c r="AZ115" s="32" t="s">
        <v>479</v>
      </c>
      <c r="BA115" s="25" t="s">
        <v>482</v>
      </c>
      <c r="BC115" s="31">
        <f>AW115+AX115</f>
        <v>0</v>
      </c>
      <c r="BD115" s="31">
        <f>G115/(100-BE115)*100</f>
        <v>0</v>
      </c>
      <c r="BE115" s="31">
        <v>0</v>
      </c>
      <c r="BF115" s="31">
        <f>L115</f>
        <v>0.56000000000000005</v>
      </c>
      <c r="BH115" s="17">
        <f>F115*AO115</f>
        <v>0</v>
      </c>
      <c r="BI115" s="17">
        <f>F115*AP115</f>
        <v>0</v>
      </c>
      <c r="BJ115" s="17">
        <f>F115*G115</f>
        <v>0</v>
      </c>
    </row>
    <row r="116" spans="1:62">
      <c r="D116" s="14" t="s">
        <v>302</v>
      </c>
    </row>
    <row r="117" spans="1:62">
      <c r="D117" s="66" t="s">
        <v>313</v>
      </c>
      <c r="F117" s="18">
        <v>35</v>
      </c>
    </row>
    <row r="118" spans="1:62" ht="25.5">
      <c r="A118" s="4" t="s">
        <v>53</v>
      </c>
      <c r="B118" s="4"/>
      <c r="C118" s="4" t="s">
        <v>160</v>
      </c>
      <c r="D118" s="65" t="s">
        <v>314</v>
      </c>
      <c r="E118" s="4" t="s">
        <v>437</v>
      </c>
      <c r="F118" s="17">
        <v>30</v>
      </c>
      <c r="G118" s="17">
        <v>0</v>
      </c>
      <c r="H118" s="17">
        <f>F118*AO118</f>
        <v>0</v>
      </c>
      <c r="I118" s="17">
        <f>F118*AP118</f>
        <v>0</v>
      </c>
      <c r="J118" s="17">
        <f>F118*G118</f>
        <v>0</v>
      </c>
      <c r="K118" s="17">
        <v>1.4999999999999999E-2</v>
      </c>
      <c r="L118" s="17">
        <f>F118*K118</f>
        <v>0.44999999999999996</v>
      </c>
      <c r="M118" s="28"/>
      <c r="Z118" s="31">
        <f>IF(AQ118="5",BJ118,0)</f>
        <v>0</v>
      </c>
      <c r="AB118" s="31">
        <f>IF(AQ118="1",BH118,0)</f>
        <v>0</v>
      </c>
      <c r="AC118" s="31">
        <f>IF(AQ118="1",BI118,0)</f>
        <v>0</v>
      </c>
      <c r="AD118" s="31">
        <f>IF(AQ118="7",BH118,0)</f>
        <v>0</v>
      </c>
      <c r="AE118" s="31">
        <f>IF(AQ118="7",BI118,0)</f>
        <v>0</v>
      </c>
      <c r="AF118" s="31">
        <f>IF(AQ118="2",BH118,0)</f>
        <v>0</v>
      </c>
      <c r="AG118" s="31">
        <f>IF(AQ118="2",BI118,0)</f>
        <v>0</v>
      </c>
      <c r="AH118" s="31">
        <f>IF(AQ118="0",BJ118,0)</f>
        <v>0</v>
      </c>
      <c r="AI118" s="25"/>
      <c r="AJ118" s="17">
        <f>IF(AN118=0,J118,0)</f>
        <v>0</v>
      </c>
      <c r="AK118" s="17">
        <f>IF(AN118=15,J118,0)</f>
        <v>0</v>
      </c>
      <c r="AL118" s="17">
        <f>IF(AN118=21,J118,0)</f>
        <v>0</v>
      </c>
      <c r="AN118" s="31">
        <v>21</v>
      </c>
      <c r="AO118" s="31">
        <f>G118*0.5</f>
        <v>0</v>
      </c>
      <c r="AP118" s="31">
        <f>G118*(1-0.5)</f>
        <v>0</v>
      </c>
      <c r="AQ118" s="28" t="s">
        <v>12</v>
      </c>
      <c r="AV118" s="31">
        <f>AW118+AX118</f>
        <v>0</v>
      </c>
      <c r="AW118" s="31">
        <f>F118*AO118</f>
        <v>0</v>
      </c>
      <c r="AX118" s="31">
        <f>F118*AP118</f>
        <v>0</v>
      </c>
      <c r="AY118" s="32" t="s">
        <v>473</v>
      </c>
      <c r="AZ118" s="32" t="s">
        <v>479</v>
      </c>
      <c r="BA118" s="25" t="s">
        <v>482</v>
      </c>
      <c r="BC118" s="31">
        <f>AW118+AX118</f>
        <v>0</v>
      </c>
      <c r="BD118" s="31">
        <f>G118/(100-BE118)*100</f>
        <v>0</v>
      </c>
      <c r="BE118" s="31">
        <v>0</v>
      </c>
      <c r="BF118" s="31">
        <f>L118</f>
        <v>0.44999999999999996</v>
      </c>
      <c r="BH118" s="17">
        <f>F118*AO118</f>
        <v>0</v>
      </c>
      <c r="BI118" s="17">
        <f>F118*AP118</f>
        <v>0</v>
      </c>
      <c r="BJ118" s="17">
        <f>F118*G118</f>
        <v>0</v>
      </c>
    </row>
    <row r="119" spans="1:62">
      <c r="D119" s="14" t="s">
        <v>302</v>
      </c>
    </row>
    <row r="120" spans="1:62">
      <c r="D120" s="66" t="s">
        <v>315</v>
      </c>
      <c r="F120" s="18">
        <v>30</v>
      </c>
    </row>
    <row r="121" spans="1:62" ht="25.5">
      <c r="A121" s="4" t="s">
        <v>54</v>
      </c>
      <c r="B121" s="4"/>
      <c r="C121" s="4" t="s">
        <v>161</v>
      </c>
      <c r="D121" s="65" t="s">
        <v>316</v>
      </c>
      <c r="E121" s="4" t="s">
        <v>438</v>
      </c>
      <c r="F121" s="17">
        <v>4</v>
      </c>
      <c r="G121" s="17">
        <v>0</v>
      </c>
      <c r="H121" s="17">
        <f>F121*AO121</f>
        <v>0</v>
      </c>
      <c r="I121" s="17">
        <f>F121*AP121</f>
        <v>0</v>
      </c>
      <c r="J121" s="17">
        <f>F121*G121</f>
        <v>0</v>
      </c>
      <c r="K121" s="17">
        <v>1.2E-2</v>
      </c>
      <c r="L121" s="17">
        <f>F121*K121</f>
        <v>4.8000000000000001E-2</v>
      </c>
      <c r="M121" s="28"/>
      <c r="Z121" s="31">
        <f>IF(AQ121="5",BJ121,0)</f>
        <v>0</v>
      </c>
      <c r="AB121" s="31">
        <f>IF(AQ121="1",BH121,0)</f>
        <v>0</v>
      </c>
      <c r="AC121" s="31">
        <f>IF(AQ121="1",BI121,0)</f>
        <v>0</v>
      </c>
      <c r="AD121" s="31">
        <f>IF(AQ121="7",BH121,0)</f>
        <v>0</v>
      </c>
      <c r="AE121" s="31">
        <f>IF(AQ121="7",BI121,0)</f>
        <v>0</v>
      </c>
      <c r="AF121" s="31">
        <f>IF(AQ121="2",BH121,0)</f>
        <v>0</v>
      </c>
      <c r="AG121" s="31">
        <f>IF(AQ121="2",BI121,0)</f>
        <v>0</v>
      </c>
      <c r="AH121" s="31">
        <f>IF(AQ121="0",BJ121,0)</f>
        <v>0</v>
      </c>
      <c r="AI121" s="25"/>
      <c r="AJ121" s="17">
        <f>IF(AN121=0,J121,0)</f>
        <v>0</v>
      </c>
      <c r="AK121" s="17">
        <f>IF(AN121=15,J121,0)</f>
        <v>0</v>
      </c>
      <c r="AL121" s="17">
        <f>IF(AN121=21,J121,0)</f>
        <v>0</v>
      </c>
      <c r="AN121" s="31">
        <v>21</v>
      </c>
      <c r="AO121" s="31">
        <f>G121*0.943661971830986</f>
        <v>0</v>
      </c>
      <c r="AP121" s="31">
        <f>G121*(1-0.943661971830986)</f>
        <v>0</v>
      </c>
      <c r="AQ121" s="28" t="s">
        <v>12</v>
      </c>
      <c r="AV121" s="31">
        <f>AW121+AX121</f>
        <v>0</v>
      </c>
      <c r="AW121" s="31">
        <f>F121*AO121</f>
        <v>0</v>
      </c>
      <c r="AX121" s="31">
        <f>F121*AP121</f>
        <v>0</v>
      </c>
      <c r="AY121" s="32" t="s">
        <v>473</v>
      </c>
      <c r="AZ121" s="32" t="s">
        <v>479</v>
      </c>
      <c r="BA121" s="25" t="s">
        <v>482</v>
      </c>
      <c r="BC121" s="31">
        <f>AW121+AX121</f>
        <v>0</v>
      </c>
      <c r="BD121" s="31">
        <f>G121/(100-BE121)*100</f>
        <v>0</v>
      </c>
      <c r="BE121" s="31">
        <v>0</v>
      </c>
      <c r="BF121" s="31">
        <f>L121</f>
        <v>4.8000000000000001E-2</v>
      </c>
      <c r="BH121" s="17">
        <f>F121*AO121</f>
        <v>0</v>
      </c>
      <c r="BI121" s="17">
        <f>F121*AP121</f>
        <v>0</v>
      </c>
      <c r="BJ121" s="17">
        <f>F121*G121</f>
        <v>0</v>
      </c>
    </row>
    <row r="122" spans="1:62" ht="51">
      <c r="D122" s="14" t="s">
        <v>317</v>
      </c>
    </row>
    <row r="123" spans="1:62">
      <c r="D123" s="66" t="s">
        <v>318</v>
      </c>
      <c r="F123" s="18">
        <v>4</v>
      </c>
    </row>
    <row r="124" spans="1:62" ht="25.5">
      <c r="A124" s="4" t="s">
        <v>55</v>
      </c>
      <c r="B124" s="4"/>
      <c r="C124" s="4" t="s">
        <v>162</v>
      </c>
      <c r="D124" s="65" t="s">
        <v>319</v>
      </c>
      <c r="E124" s="4" t="s">
        <v>438</v>
      </c>
      <c r="F124" s="17">
        <v>1</v>
      </c>
      <c r="G124" s="17">
        <v>0</v>
      </c>
      <c r="H124" s="17">
        <f>F124*AO124</f>
        <v>0</v>
      </c>
      <c r="I124" s="17">
        <f>F124*AP124</f>
        <v>0</v>
      </c>
      <c r="J124" s="17">
        <f>F124*G124</f>
        <v>0</v>
      </c>
      <c r="K124" s="17">
        <v>1.2E-2</v>
      </c>
      <c r="L124" s="17">
        <f>F124*K124</f>
        <v>1.2E-2</v>
      </c>
      <c r="M124" s="28"/>
      <c r="Z124" s="31">
        <f>IF(AQ124="5",BJ124,0)</f>
        <v>0</v>
      </c>
      <c r="AB124" s="31">
        <f>IF(AQ124="1",BH124,0)</f>
        <v>0</v>
      </c>
      <c r="AC124" s="31">
        <f>IF(AQ124="1",BI124,0)</f>
        <v>0</v>
      </c>
      <c r="AD124" s="31">
        <f>IF(AQ124="7",BH124,0)</f>
        <v>0</v>
      </c>
      <c r="AE124" s="31">
        <f>IF(AQ124="7",BI124,0)</f>
        <v>0</v>
      </c>
      <c r="AF124" s="31">
        <f>IF(AQ124="2",BH124,0)</f>
        <v>0</v>
      </c>
      <c r="AG124" s="31">
        <f>IF(AQ124="2",BI124,0)</f>
        <v>0</v>
      </c>
      <c r="AH124" s="31">
        <f>IF(AQ124="0",BJ124,0)</f>
        <v>0</v>
      </c>
      <c r="AI124" s="25"/>
      <c r="AJ124" s="17">
        <f>IF(AN124=0,J124,0)</f>
        <v>0</v>
      </c>
      <c r="AK124" s="17">
        <f>IF(AN124=15,J124,0)</f>
        <v>0</v>
      </c>
      <c r="AL124" s="17">
        <f>IF(AN124=21,J124,0)</f>
        <v>0</v>
      </c>
      <c r="AN124" s="31">
        <v>21</v>
      </c>
      <c r="AO124" s="31">
        <f>G124*0.95995995995996</f>
        <v>0</v>
      </c>
      <c r="AP124" s="31">
        <f>G124*(1-0.95995995995996)</f>
        <v>0</v>
      </c>
      <c r="AQ124" s="28" t="s">
        <v>12</v>
      </c>
      <c r="AV124" s="31">
        <f>AW124+AX124</f>
        <v>0</v>
      </c>
      <c r="AW124" s="31">
        <f>F124*AO124</f>
        <v>0</v>
      </c>
      <c r="AX124" s="31">
        <f>F124*AP124</f>
        <v>0</v>
      </c>
      <c r="AY124" s="32" t="s">
        <v>473</v>
      </c>
      <c r="AZ124" s="32" t="s">
        <v>479</v>
      </c>
      <c r="BA124" s="25" t="s">
        <v>482</v>
      </c>
      <c r="BC124" s="31">
        <f>AW124+AX124</f>
        <v>0</v>
      </c>
      <c r="BD124" s="31">
        <f>G124/(100-BE124)*100</f>
        <v>0</v>
      </c>
      <c r="BE124" s="31">
        <v>0</v>
      </c>
      <c r="BF124" s="31">
        <f>L124</f>
        <v>1.2E-2</v>
      </c>
      <c r="BH124" s="17">
        <f>F124*AO124</f>
        <v>0</v>
      </c>
      <c r="BI124" s="17">
        <f>F124*AP124</f>
        <v>0</v>
      </c>
      <c r="BJ124" s="17">
        <f>F124*G124</f>
        <v>0</v>
      </c>
    </row>
    <row r="125" spans="1:62" ht="51">
      <c r="D125" s="14" t="s">
        <v>317</v>
      </c>
    </row>
    <row r="126" spans="1:62">
      <c r="D126" s="66" t="s">
        <v>320</v>
      </c>
      <c r="F126" s="18">
        <v>1</v>
      </c>
    </row>
    <row r="127" spans="1:62">
      <c r="A127" s="4" t="s">
        <v>56</v>
      </c>
      <c r="B127" s="4"/>
      <c r="C127" s="4" t="s">
        <v>163</v>
      </c>
      <c r="D127" s="65" t="s">
        <v>321</v>
      </c>
      <c r="E127" s="4" t="s">
        <v>440</v>
      </c>
      <c r="F127" s="17">
        <v>5</v>
      </c>
      <c r="G127" s="17">
        <v>0</v>
      </c>
      <c r="H127" s="17">
        <f>F127*AO127</f>
        <v>0</v>
      </c>
      <c r="I127" s="17">
        <f>F127*AP127</f>
        <v>0</v>
      </c>
      <c r="J127" s="17">
        <f>F127*G127</f>
        <v>0</v>
      </c>
      <c r="K127" s="17">
        <v>3.3000000000000002E-2</v>
      </c>
      <c r="L127" s="17">
        <f>F127*K127</f>
        <v>0.16500000000000001</v>
      </c>
      <c r="M127" s="28"/>
      <c r="Z127" s="31">
        <f>IF(AQ127="5",BJ127,0)</f>
        <v>0</v>
      </c>
      <c r="AB127" s="31">
        <f>IF(AQ127="1",BH127,0)</f>
        <v>0</v>
      </c>
      <c r="AC127" s="31">
        <f>IF(AQ127="1",BI127,0)</f>
        <v>0</v>
      </c>
      <c r="AD127" s="31">
        <f>IF(AQ127="7",BH127,0)</f>
        <v>0</v>
      </c>
      <c r="AE127" s="31">
        <f>IF(AQ127="7",BI127,0)</f>
        <v>0</v>
      </c>
      <c r="AF127" s="31">
        <f>IF(AQ127="2",BH127,0)</f>
        <v>0</v>
      </c>
      <c r="AG127" s="31">
        <f>IF(AQ127="2",BI127,0)</f>
        <v>0</v>
      </c>
      <c r="AH127" s="31">
        <f>IF(AQ127="0",BJ127,0)</f>
        <v>0</v>
      </c>
      <c r="AI127" s="25"/>
      <c r="AJ127" s="17">
        <f>IF(AN127=0,J127,0)</f>
        <v>0</v>
      </c>
      <c r="AK127" s="17">
        <f>IF(AN127=15,J127,0)</f>
        <v>0</v>
      </c>
      <c r="AL127" s="17">
        <f>IF(AN127=21,J127,0)</f>
        <v>0</v>
      </c>
      <c r="AN127" s="31">
        <v>21</v>
      </c>
      <c r="AO127" s="31">
        <f>G127*1</f>
        <v>0</v>
      </c>
      <c r="AP127" s="31">
        <f>G127*(1-1)</f>
        <v>0</v>
      </c>
      <c r="AQ127" s="28" t="s">
        <v>12</v>
      </c>
      <c r="AV127" s="31">
        <f>AW127+AX127</f>
        <v>0</v>
      </c>
      <c r="AW127" s="31">
        <f>F127*AO127</f>
        <v>0</v>
      </c>
      <c r="AX127" s="31">
        <f>F127*AP127</f>
        <v>0</v>
      </c>
      <c r="AY127" s="32" t="s">
        <v>473</v>
      </c>
      <c r="AZ127" s="32" t="s">
        <v>479</v>
      </c>
      <c r="BA127" s="25" t="s">
        <v>482</v>
      </c>
      <c r="BC127" s="31">
        <f>AW127+AX127</f>
        <v>0</v>
      </c>
      <c r="BD127" s="31">
        <f>G127/(100-BE127)*100</f>
        <v>0</v>
      </c>
      <c r="BE127" s="31">
        <v>0</v>
      </c>
      <c r="BF127" s="31">
        <f>L127</f>
        <v>0.16500000000000001</v>
      </c>
      <c r="BH127" s="17">
        <f>F127*AO127</f>
        <v>0</v>
      </c>
      <c r="BI127" s="17">
        <f>F127*AP127</f>
        <v>0</v>
      </c>
      <c r="BJ127" s="17">
        <f>F127*G127</f>
        <v>0</v>
      </c>
    </row>
    <row r="128" spans="1:62">
      <c r="D128" s="66" t="s">
        <v>322</v>
      </c>
      <c r="F128" s="18">
        <v>5</v>
      </c>
    </row>
    <row r="129" spans="1:62">
      <c r="A129" s="4" t="s">
        <v>57</v>
      </c>
      <c r="B129" s="4"/>
      <c r="C129" s="4" t="s">
        <v>164</v>
      </c>
      <c r="D129" s="65" t="s">
        <v>323</v>
      </c>
      <c r="E129" s="4" t="s">
        <v>438</v>
      </c>
      <c r="F129" s="17">
        <v>2</v>
      </c>
      <c r="G129" s="17">
        <v>0</v>
      </c>
      <c r="H129" s="17">
        <f>F129*AO129</f>
        <v>0</v>
      </c>
      <c r="I129" s="17">
        <f>F129*AP129</f>
        <v>0</v>
      </c>
      <c r="J129" s="17">
        <f>F129*G129</f>
        <v>0</v>
      </c>
      <c r="K129" s="17">
        <v>1.2E-2</v>
      </c>
      <c r="L129" s="17">
        <f>F129*K129</f>
        <v>2.4E-2</v>
      </c>
      <c r="M129" s="28"/>
      <c r="Z129" s="31">
        <f>IF(AQ129="5",BJ129,0)</f>
        <v>0</v>
      </c>
      <c r="AB129" s="31">
        <f>IF(AQ129="1",BH129,0)</f>
        <v>0</v>
      </c>
      <c r="AC129" s="31">
        <f>IF(AQ129="1",BI129,0)</f>
        <v>0</v>
      </c>
      <c r="AD129" s="31">
        <f>IF(AQ129="7",BH129,0)</f>
        <v>0</v>
      </c>
      <c r="AE129" s="31">
        <f>IF(AQ129="7",BI129,0)</f>
        <v>0</v>
      </c>
      <c r="AF129" s="31">
        <f>IF(AQ129="2",BH129,0)</f>
        <v>0</v>
      </c>
      <c r="AG129" s="31">
        <f>IF(AQ129="2",BI129,0)</f>
        <v>0</v>
      </c>
      <c r="AH129" s="31">
        <f>IF(AQ129="0",BJ129,0)</f>
        <v>0</v>
      </c>
      <c r="AI129" s="25"/>
      <c r="AJ129" s="17">
        <f>IF(AN129=0,J129,0)</f>
        <v>0</v>
      </c>
      <c r="AK129" s="17">
        <f>IF(AN129=15,J129,0)</f>
        <v>0</v>
      </c>
      <c r="AL129" s="17">
        <f>IF(AN129=21,J129,0)</f>
        <v>0</v>
      </c>
      <c r="AN129" s="31">
        <v>21</v>
      </c>
      <c r="AO129" s="31">
        <f>G129*0.84</f>
        <v>0</v>
      </c>
      <c r="AP129" s="31">
        <f>G129*(1-0.84)</f>
        <v>0</v>
      </c>
      <c r="AQ129" s="28" t="s">
        <v>12</v>
      </c>
      <c r="AV129" s="31">
        <f>AW129+AX129</f>
        <v>0</v>
      </c>
      <c r="AW129" s="31">
        <f>F129*AO129</f>
        <v>0</v>
      </c>
      <c r="AX129" s="31">
        <f>F129*AP129</f>
        <v>0</v>
      </c>
      <c r="AY129" s="32" t="s">
        <v>473</v>
      </c>
      <c r="AZ129" s="32" t="s">
        <v>479</v>
      </c>
      <c r="BA129" s="25" t="s">
        <v>482</v>
      </c>
      <c r="BC129" s="31">
        <f>AW129+AX129</f>
        <v>0</v>
      </c>
      <c r="BD129" s="31">
        <f>G129/(100-BE129)*100</f>
        <v>0</v>
      </c>
      <c r="BE129" s="31">
        <v>0</v>
      </c>
      <c r="BF129" s="31">
        <f>L129</f>
        <v>2.4E-2</v>
      </c>
      <c r="BH129" s="17">
        <f>F129*AO129</f>
        <v>0</v>
      </c>
      <c r="BI129" s="17">
        <f>F129*AP129</f>
        <v>0</v>
      </c>
      <c r="BJ129" s="17">
        <f>F129*G129</f>
        <v>0</v>
      </c>
    </row>
    <row r="130" spans="1:62">
      <c r="D130" s="66" t="s">
        <v>324</v>
      </c>
      <c r="F130" s="18">
        <v>2</v>
      </c>
    </row>
    <row r="131" spans="1:62">
      <c r="A131" s="4" t="s">
        <v>58</v>
      </c>
      <c r="B131" s="4"/>
      <c r="C131" s="4" t="s">
        <v>165</v>
      </c>
      <c r="D131" s="65" t="s">
        <v>325</v>
      </c>
      <c r="E131" s="4" t="s">
        <v>438</v>
      </c>
      <c r="F131" s="17">
        <v>2</v>
      </c>
      <c r="G131" s="17">
        <v>0</v>
      </c>
      <c r="H131" s="17">
        <f>F131*AO131</f>
        <v>0</v>
      </c>
      <c r="I131" s="17">
        <f>F131*AP131</f>
        <v>0</v>
      </c>
      <c r="J131" s="17">
        <f>F131*G131</f>
        <v>0</v>
      </c>
      <c r="K131" s="17">
        <v>1.0999999999999999E-2</v>
      </c>
      <c r="L131" s="17">
        <f>F131*K131</f>
        <v>2.1999999999999999E-2</v>
      </c>
      <c r="M131" s="28"/>
      <c r="Z131" s="31">
        <f>IF(AQ131="5",BJ131,0)</f>
        <v>0</v>
      </c>
      <c r="AB131" s="31">
        <f>IF(AQ131="1",BH131,0)</f>
        <v>0</v>
      </c>
      <c r="AC131" s="31">
        <f>IF(AQ131="1",BI131,0)</f>
        <v>0</v>
      </c>
      <c r="AD131" s="31">
        <f>IF(AQ131="7",BH131,0)</f>
        <v>0</v>
      </c>
      <c r="AE131" s="31">
        <f>IF(AQ131="7",BI131,0)</f>
        <v>0</v>
      </c>
      <c r="AF131" s="31">
        <f>IF(AQ131="2",BH131,0)</f>
        <v>0</v>
      </c>
      <c r="AG131" s="31">
        <f>IF(AQ131="2",BI131,0)</f>
        <v>0</v>
      </c>
      <c r="AH131" s="31">
        <f>IF(AQ131="0",BJ131,0)</f>
        <v>0</v>
      </c>
      <c r="AI131" s="25"/>
      <c r="AJ131" s="17">
        <f>IF(AN131=0,J131,0)</f>
        <v>0</v>
      </c>
      <c r="AK131" s="17">
        <f>IF(AN131=15,J131,0)</f>
        <v>0</v>
      </c>
      <c r="AL131" s="17">
        <f>IF(AN131=21,J131,0)</f>
        <v>0</v>
      </c>
      <c r="AN131" s="31">
        <v>21</v>
      </c>
      <c r="AO131" s="31">
        <f>G131*0.866666666666667</f>
        <v>0</v>
      </c>
      <c r="AP131" s="31">
        <f>G131*(1-0.866666666666667)</f>
        <v>0</v>
      </c>
      <c r="AQ131" s="28" t="s">
        <v>12</v>
      </c>
      <c r="AV131" s="31">
        <f>AW131+AX131</f>
        <v>0</v>
      </c>
      <c r="AW131" s="31">
        <f>F131*AO131</f>
        <v>0</v>
      </c>
      <c r="AX131" s="31">
        <f>F131*AP131</f>
        <v>0</v>
      </c>
      <c r="AY131" s="32" t="s">
        <v>473</v>
      </c>
      <c r="AZ131" s="32" t="s">
        <v>479</v>
      </c>
      <c r="BA131" s="25" t="s">
        <v>482</v>
      </c>
      <c r="BC131" s="31">
        <f>AW131+AX131</f>
        <v>0</v>
      </c>
      <c r="BD131" s="31">
        <f>G131/(100-BE131)*100</f>
        <v>0</v>
      </c>
      <c r="BE131" s="31">
        <v>0</v>
      </c>
      <c r="BF131" s="31">
        <f>L131</f>
        <v>2.1999999999999999E-2</v>
      </c>
      <c r="BH131" s="17">
        <f>F131*AO131</f>
        <v>0</v>
      </c>
      <c r="BI131" s="17">
        <f>F131*AP131</f>
        <v>0</v>
      </c>
      <c r="BJ131" s="17">
        <f>F131*G131</f>
        <v>0</v>
      </c>
    </row>
    <row r="132" spans="1:62">
      <c r="D132" s="66" t="s">
        <v>324</v>
      </c>
      <c r="F132" s="18">
        <v>2</v>
      </c>
    </row>
    <row r="133" spans="1:62">
      <c r="A133" s="4" t="s">
        <v>59</v>
      </c>
      <c r="B133" s="4"/>
      <c r="C133" s="4" t="s">
        <v>166</v>
      </c>
      <c r="D133" s="65" t="s">
        <v>326</v>
      </c>
      <c r="E133" s="4" t="s">
        <v>436</v>
      </c>
      <c r="F133" s="17">
        <v>45</v>
      </c>
      <c r="G133" s="17">
        <v>0</v>
      </c>
      <c r="H133" s="17">
        <f>F133*AO133</f>
        <v>0</v>
      </c>
      <c r="I133" s="17">
        <f>F133*AP133</f>
        <v>0</v>
      </c>
      <c r="J133" s="17">
        <f>F133*G133</f>
        <v>0</v>
      </c>
      <c r="K133" s="17">
        <v>0</v>
      </c>
      <c r="L133" s="17">
        <f>F133*K133</f>
        <v>0</v>
      </c>
      <c r="M133" s="28" t="s">
        <v>462</v>
      </c>
      <c r="Z133" s="31">
        <f>IF(AQ133="5",BJ133,0)</f>
        <v>0</v>
      </c>
      <c r="AB133" s="31">
        <f>IF(AQ133="1",BH133,0)</f>
        <v>0</v>
      </c>
      <c r="AC133" s="31">
        <f>IF(AQ133="1",BI133,0)</f>
        <v>0</v>
      </c>
      <c r="AD133" s="31">
        <f>IF(AQ133="7",BH133,0)</f>
        <v>0</v>
      </c>
      <c r="AE133" s="31">
        <f>IF(AQ133="7",BI133,0)</f>
        <v>0</v>
      </c>
      <c r="AF133" s="31">
        <f>IF(AQ133="2",BH133,0)</f>
        <v>0</v>
      </c>
      <c r="AG133" s="31">
        <f>IF(AQ133="2",BI133,0)</f>
        <v>0</v>
      </c>
      <c r="AH133" s="31">
        <f>IF(AQ133="0",BJ133,0)</f>
        <v>0</v>
      </c>
      <c r="AI133" s="25"/>
      <c r="AJ133" s="17">
        <f>IF(AN133=0,J133,0)</f>
        <v>0</v>
      </c>
      <c r="AK133" s="17">
        <f>IF(AN133=15,J133,0)</f>
        <v>0</v>
      </c>
      <c r="AL133" s="17">
        <f>IF(AN133=21,J133,0)</f>
        <v>0</v>
      </c>
      <c r="AN133" s="31">
        <v>21</v>
      </c>
      <c r="AO133" s="31">
        <f>G133*0</f>
        <v>0</v>
      </c>
      <c r="AP133" s="31">
        <f>G133*(1-0)</f>
        <v>0</v>
      </c>
      <c r="AQ133" s="28" t="s">
        <v>12</v>
      </c>
      <c r="AV133" s="31">
        <f>AW133+AX133</f>
        <v>0</v>
      </c>
      <c r="AW133" s="31">
        <f>F133*AO133</f>
        <v>0</v>
      </c>
      <c r="AX133" s="31">
        <f>F133*AP133</f>
        <v>0</v>
      </c>
      <c r="AY133" s="32" t="s">
        <v>473</v>
      </c>
      <c r="AZ133" s="32" t="s">
        <v>479</v>
      </c>
      <c r="BA133" s="25" t="s">
        <v>482</v>
      </c>
      <c r="BC133" s="31">
        <f>AW133+AX133</f>
        <v>0</v>
      </c>
      <c r="BD133" s="31">
        <f>G133/(100-BE133)*100</f>
        <v>0</v>
      </c>
      <c r="BE133" s="31">
        <v>0</v>
      </c>
      <c r="BF133" s="31">
        <f>L133</f>
        <v>0</v>
      </c>
      <c r="BH133" s="17">
        <f>F133*AO133</f>
        <v>0</v>
      </c>
      <c r="BI133" s="17">
        <f>F133*AP133</f>
        <v>0</v>
      </c>
      <c r="BJ133" s="17">
        <f>F133*G133</f>
        <v>0</v>
      </c>
    </row>
    <row r="134" spans="1:62">
      <c r="D134" s="66" t="s">
        <v>327</v>
      </c>
      <c r="F134" s="18">
        <v>45</v>
      </c>
    </row>
    <row r="135" spans="1:62">
      <c r="A135" s="4" t="s">
        <v>60</v>
      </c>
      <c r="B135" s="4"/>
      <c r="C135" s="4" t="s">
        <v>167</v>
      </c>
      <c r="D135" s="65" t="s">
        <v>328</v>
      </c>
      <c r="E135" s="4" t="s">
        <v>436</v>
      </c>
      <c r="F135" s="17">
        <v>3</v>
      </c>
      <c r="G135" s="17">
        <v>0</v>
      </c>
      <c r="H135" s="17">
        <f>F135*AO135</f>
        <v>0</v>
      </c>
      <c r="I135" s="17">
        <f>F135*AP135</f>
        <v>0</v>
      </c>
      <c r="J135" s="17">
        <f>F135*G135</f>
        <v>0</v>
      </c>
      <c r="K135" s="17">
        <v>1E-3</v>
      </c>
      <c r="L135" s="17">
        <f>F135*K135</f>
        <v>3.0000000000000001E-3</v>
      </c>
      <c r="M135" s="28"/>
      <c r="Z135" s="31">
        <f>IF(AQ135="5",BJ135,0)</f>
        <v>0</v>
      </c>
      <c r="AB135" s="31">
        <f>IF(AQ135="1",BH135,0)</f>
        <v>0</v>
      </c>
      <c r="AC135" s="31">
        <f>IF(AQ135="1",BI135,0)</f>
        <v>0</v>
      </c>
      <c r="AD135" s="31">
        <f>IF(AQ135="7",BH135,0)</f>
        <v>0</v>
      </c>
      <c r="AE135" s="31">
        <f>IF(AQ135="7",BI135,0)</f>
        <v>0</v>
      </c>
      <c r="AF135" s="31">
        <f>IF(AQ135="2",BH135,0)</f>
        <v>0</v>
      </c>
      <c r="AG135" s="31">
        <f>IF(AQ135="2",BI135,0)</f>
        <v>0</v>
      </c>
      <c r="AH135" s="31">
        <f>IF(AQ135="0",BJ135,0)</f>
        <v>0</v>
      </c>
      <c r="AI135" s="25"/>
      <c r="AJ135" s="17">
        <f>IF(AN135=0,J135,0)</f>
        <v>0</v>
      </c>
      <c r="AK135" s="17">
        <f>IF(AN135=15,J135,0)</f>
        <v>0</v>
      </c>
      <c r="AL135" s="17">
        <f>IF(AN135=21,J135,0)</f>
        <v>0</v>
      </c>
      <c r="AN135" s="31">
        <v>21</v>
      </c>
      <c r="AO135" s="31">
        <f>G135*0.696969696969697</f>
        <v>0</v>
      </c>
      <c r="AP135" s="31">
        <f>G135*(1-0.696969696969697)</f>
        <v>0</v>
      </c>
      <c r="AQ135" s="28" t="s">
        <v>12</v>
      </c>
      <c r="AV135" s="31">
        <f>AW135+AX135</f>
        <v>0</v>
      </c>
      <c r="AW135" s="31">
        <f>F135*AO135</f>
        <v>0</v>
      </c>
      <c r="AX135" s="31">
        <f>F135*AP135</f>
        <v>0</v>
      </c>
      <c r="AY135" s="32" t="s">
        <v>473</v>
      </c>
      <c r="AZ135" s="32" t="s">
        <v>479</v>
      </c>
      <c r="BA135" s="25" t="s">
        <v>482</v>
      </c>
      <c r="BC135" s="31">
        <f>AW135+AX135</f>
        <v>0</v>
      </c>
      <c r="BD135" s="31">
        <f>G135/(100-BE135)*100</f>
        <v>0</v>
      </c>
      <c r="BE135" s="31">
        <v>0</v>
      </c>
      <c r="BF135" s="31">
        <f>L135</f>
        <v>3.0000000000000001E-3</v>
      </c>
      <c r="BH135" s="17">
        <f>F135*AO135</f>
        <v>0</v>
      </c>
      <c r="BI135" s="17">
        <f>F135*AP135</f>
        <v>0</v>
      </c>
      <c r="BJ135" s="17">
        <f>F135*G135</f>
        <v>0</v>
      </c>
    </row>
    <row r="136" spans="1:62">
      <c r="D136" s="14" t="s">
        <v>329</v>
      </c>
    </row>
    <row r="137" spans="1:62">
      <c r="D137" s="66" t="s">
        <v>330</v>
      </c>
      <c r="F137" s="18">
        <v>3</v>
      </c>
    </row>
    <row r="138" spans="1:62">
      <c r="A138" s="4" t="s">
        <v>61</v>
      </c>
      <c r="B138" s="4"/>
      <c r="C138" s="4" t="s">
        <v>168</v>
      </c>
      <c r="D138" s="65" t="s">
        <v>331</v>
      </c>
      <c r="E138" s="4" t="s">
        <v>436</v>
      </c>
      <c r="F138" s="17">
        <v>50</v>
      </c>
      <c r="G138" s="17">
        <v>0</v>
      </c>
      <c r="H138" s="17">
        <f>F138*AO138</f>
        <v>0</v>
      </c>
      <c r="I138" s="17">
        <f>F138*AP138</f>
        <v>0</v>
      </c>
      <c r="J138" s="17">
        <f>F138*G138</f>
        <v>0</v>
      </c>
      <c r="K138" s="17">
        <v>1E-3</v>
      </c>
      <c r="L138" s="17">
        <f>F138*K138</f>
        <v>0.05</v>
      </c>
      <c r="M138" s="28"/>
      <c r="Z138" s="31">
        <f>IF(AQ138="5",BJ138,0)</f>
        <v>0</v>
      </c>
      <c r="AB138" s="31">
        <f>IF(AQ138="1",BH138,0)</f>
        <v>0</v>
      </c>
      <c r="AC138" s="31">
        <f>IF(AQ138="1",BI138,0)</f>
        <v>0</v>
      </c>
      <c r="AD138" s="31">
        <f>IF(AQ138="7",BH138,0)</f>
        <v>0</v>
      </c>
      <c r="AE138" s="31">
        <f>IF(AQ138="7",BI138,0)</f>
        <v>0</v>
      </c>
      <c r="AF138" s="31">
        <f>IF(AQ138="2",BH138,0)</f>
        <v>0</v>
      </c>
      <c r="AG138" s="31">
        <f>IF(AQ138="2",BI138,0)</f>
        <v>0</v>
      </c>
      <c r="AH138" s="31">
        <f>IF(AQ138="0",BJ138,0)</f>
        <v>0</v>
      </c>
      <c r="AI138" s="25"/>
      <c r="AJ138" s="17">
        <f>IF(AN138=0,J138,0)</f>
        <v>0</v>
      </c>
      <c r="AK138" s="17">
        <f>IF(AN138=15,J138,0)</f>
        <v>0</v>
      </c>
      <c r="AL138" s="17">
        <f>IF(AN138=21,J138,0)</f>
        <v>0</v>
      </c>
      <c r="AN138" s="31">
        <v>21</v>
      </c>
      <c r="AO138" s="31">
        <f>G138*0.6</f>
        <v>0</v>
      </c>
      <c r="AP138" s="31">
        <f>G138*(1-0.6)</f>
        <v>0</v>
      </c>
      <c r="AQ138" s="28" t="s">
        <v>12</v>
      </c>
      <c r="AV138" s="31">
        <f>AW138+AX138</f>
        <v>0</v>
      </c>
      <c r="AW138" s="31">
        <f>F138*AO138</f>
        <v>0</v>
      </c>
      <c r="AX138" s="31">
        <f>F138*AP138</f>
        <v>0</v>
      </c>
      <c r="AY138" s="32" t="s">
        <v>473</v>
      </c>
      <c r="AZ138" s="32" t="s">
        <v>479</v>
      </c>
      <c r="BA138" s="25" t="s">
        <v>482</v>
      </c>
      <c r="BC138" s="31">
        <f>AW138+AX138</f>
        <v>0</v>
      </c>
      <c r="BD138" s="31">
        <f>G138/(100-BE138)*100</f>
        <v>0</v>
      </c>
      <c r="BE138" s="31">
        <v>0</v>
      </c>
      <c r="BF138" s="31">
        <f>L138</f>
        <v>0.05</v>
      </c>
      <c r="BH138" s="17">
        <f>F138*AO138</f>
        <v>0</v>
      </c>
      <c r="BI138" s="17">
        <f>F138*AP138</f>
        <v>0</v>
      </c>
      <c r="BJ138" s="17">
        <f>F138*G138</f>
        <v>0</v>
      </c>
    </row>
    <row r="139" spans="1:62">
      <c r="D139" s="14" t="s">
        <v>332</v>
      </c>
    </row>
    <row r="140" spans="1:62">
      <c r="D140" s="66" t="s">
        <v>333</v>
      </c>
      <c r="F140" s="18">
        <v>50</v>
      </c>
    </row>
    <row r="141" spans="1:62">
      <c r="A141" s="4" t="s">
        <v>62</v>
      </c>
      <c r="B141" s="4"/>
      <c r="C141" s="4" t="s">
        <v>169</v>
      </c>
      <c r="D141" s="65" t="s">
        <v>334</v>
      </c>
      <c r="E141" s="4" t="s">
        <v>436</v>
      </c>
      <c r="F141" s="17">
        <v>100</v>
      </c>
      <c r="G141" s="17">
        <v>0</v>
      </c>
      <c r="H141" s="17">
        <f>F141*AO141</f>
        <v>0</v>
      </c>
      <c r="I141" s="17">
        <f>F141*AP141</f>
        <v>0</v>
      </c>
      <c r="J141" s="17">
        <f>F141*G141</f>
        <v>0</v>
      </c>
      <c r="K141" s="17">
        <v>2E-3</v>
      </c>
      <c r="L141" s="17">
        <f>F141*K141</f>
        <v>0.2</v>
      </c>
      <c r="M141" s="28"/>
      <c r="Z141" s="31">
        <f>IF(AQ141="5",BJ141,0)</f>
        <v>0</v>
      </c>
      <c r="AB141" s="31">
        <f>IF(AQ141="1",BH141,0)</f>
        <v>0</v>
      </c>
      <c r="AC141" s="31">
        <f>IF(AQ141="1",BI141,0)</f>
        <v>0</v>
      </c>
      <c r="AD141" s="31">
        <f>IF(AQ141="7",BH141,0)</f>
        <v>0</v>
      </c>
      <c r="AE141" s="31">
        <f>IF(AQ141="7",BI141,0)</f>
        <v>0</v>
      </c>
      <c r="AF141" s="31">
        <f>IF(AQ141="2",BH141,0)</f>
        <v>0</v>
      </c>
      <c r="AG141" s="31">
        <f>IF(AQ141="2",BI141,0)</f>
        <v>0</v>
      </c>
      <c r="AH141" s="31">
        <f>IF(AQ141="0",BJ141,0)</f>
        <v>0</v>
      </c>
      <c r="AI141" s="25"/>
      <c r="AJ141" s="17">
        <f>IF(AN141=0,J141,0)</f>
        <v>0</v>
      </c>
      <c r="AK141" s="17">
        <f>IF(AN141=15,J141,0)</f>
        <v>0</v>
      </c>
      <c r="AL141" s="17">
        <f>IF(AN141=21,J141,0)</f>
        <v>0</v>
      </c>
      <c r="AN141" s="31">
        <v>21</v>
      </c>
      <c r="AO141" s="31">
        <f>G141*0.444444444444444</f>
        <v>0</v>
      </c>
      <c r="AP141" s="31">
        <f>G141*(1-0.444444444444444)</f>
        <v>0</v>
      </c>
      <c r="AQ141" s="28" t="s">
        <v>12</v>
      </c>
      <c r="AV141" s="31">
        <f>AW141+AX141</f>
        <v>0</v>
      </c>
      <c r="AW141" s="31">
        <f>F141*AO141</f>
        <v>0</v>
      </c>
      <c r="AX141" s="31">
        <f>F141*AP141</f>
        <v>0</v>
      </c>
      <c r="AY141" s="32" t="s">
        <v>473</v>
      </c>
      <c r="AZ141" s="32" t="s">
        <v>479</v>
      </c>
      <c r="BA141" s="25" t="s">
        <v>482</v>
      </c>
      <c r="BC141" s="31">
        <f>AW141+AX141</f>
        <v>0</v>
      </c>
      <c r="BD141" s="31">
        <f>G141/(100-BE141)*100</f>
        <v>0</v>
      </c>
      <c r="BE141" s="31">
        <v>0</v>
      </c>
      <c r="BF141" s="31">
        <f>L141</f>
        <v>0.2</v>
      </c>
      <c r="BH141" s="17">
        <f>F141*AO141</f>
        <v>0</v>
      </c>
      <c r="BI141" s="17">
        <f>F141*AP141</f>
        <v>0</v>
      </c>
      <c r="BJ141" s="17">
        <f>F141*G141</f>
        <v>0</v>
      </c>
    </row>
    <row r="142" spans="1:62">
      <c r="D142" s="66" t="s">
        <v>335</v>
      </c>
      <c r="F142" s="18">
        <v>100</v>
      </c>
    </row>
    <row r="143" spans="1:62">
      <c r="A143" s="4" t="s">
        <v>63</v>
      </c>
      <c r="B143" s="4"/>
      <c r="C143" s="4" t="s">
        <v>170</v>
      </c>
      <c r="D143" s="65" t="s">
        <v>336</v>
      </c>
      <c r="E143" s="4" t="s">
        <v>436</v>
      </c>
      <c r="F143" s="17">
        <v>50</v>
      </c>
      <c r="G143" s="17">
        <v>0</v>
      </c>
      <c r="H143" s="17">
        <f>F143*AO143</f>
        <v>0</v>
      </c>
      <c r="I143" s="17">
        <f>F143*AP143</f>
        <v>0</v>
      </c>
      <c r="J143" s="17">
        <f>F143*G143</f>
        <v>0</v>
      </c>
      <c r="K143" s="17">
        <v>0</v>
      </c>
      <c r="L143" s="17">
        <f>F143*K143</f>
        <v>0</v>
      </c>
      <c r="M143" s="28" t="s">
        <v>462</v>
      </c>
      <c r="Z143" s="31">
        <f>IF(AQ143="5",BJ143,0)</f>
        <v>0</v>
      </c>
      <c r="AB143" s="31">
        <f>IF(AQ143="1",BH143,0)</f>
        <v>0</v>
      </c>
      <c r="AC143" s="31">
        <f>IF(AQ143="1",BI143,0)</f>
        <v>0</v>
      </c>
      <c r="AD143" s="31">
        <f>IF(AQ143="7",BH143,0)</f>
        <v>0</v>
      </c>
      <c r="AE143" s="31">
        <f>IF(AQ143="7",BI143,0)</f>
        <v>0</v>
      </c>
      <c r="AF143" s="31">
        <f>IF(AQ143="2",BH143,0)</f>
        <v>0</v>
      </c>
      <c r="AG143" s="31">
        <f>IF(AQ143="2",BI143,0)</f>
        <v>0</v>
      </c>
      <c r="AH143" s="31">
        <f>IF(AQ143="0",BJ143,0)</f>
        <v>0</v>
      </c>
      <c r="AI143" s="25"/>
      <c r="AJ143" s="17">
        <f>IF(AN143=0,J143,0)</f>
        <v>0</v>
      </c>
      <c r="AK143" s="17">
        <f>IF(AN143=15,J143,0)</f>
        <v>0</v>
      </c>
      <c r="AL143" s="17">
        <f>IF(AN143=21,J143,0)</f>
        <v>0</v>
      </c>
      <c r="AN143" s="31">
        <v>21</v>
      </c>
      <c r="AO143" s="31">
        <f>G143*0</f>
        <v>0</v>
      </c>
      <c r="AP143" s="31">
        <f>G143*(1-0)</f>
        <v>0</v>
      </c>
      <c r="AQ143" s="28" t="s">
        <v>12</v>
      </c>
      <c r="AV143" s="31">
        <f>AW143+AX143</f>
        <v>0</v>
      </c>
      <c r="AW143" s="31">
        <f>F143*AO143</f>
        <v>0</v>
      </c>
      <c r="AX143" s="31">
        <f>F143*AP143</f>
        <v>0</v>
      </c>
      <c r="AY143" s="32" t="s">
        <v>473</v>
      </c>
      <c r="AZ143" s="32" t="s">
        <v>479</v>
      </c>
      <c r="BA143" s="25" t="s">
        <v>482</v>
      </c>
      <c r="BC143" s="31">
        <f>AW143+AX143</f>
        <v>0</v>
      </c>
      <c r="BD143" s="31">
        <f>G143/(100-BE143)*100</f>
        <v>0</v>
      </c>
      <c r="BE143" s="31">
        <v>0</v>
      </c>
      <c r="BF143" s="31">
        <f>L143</f>
        <v>0</v>
      </c>
      <c r="BH143" s="17">
        <f>F143*AO143</f>
        <v>0</v>
      </c>
      <c r="BI143" s="17">
        <f>F143*AP143</f>
        <v>0</v>
      </c>
      <c r="BJ143" s="17">
        <f>F143*G143</f>
        <v>0</v>
      </c>
    </row>
    <row r="144" spans="1:62">
      <c r="D144" s="66" t="s">
        <v>337</v>
      </c>
      <c r="F144" s="18">
        <v>50</v>
      </c>
    </row>
    <row r="145" spans="1:62">
      <c r="A145" s="4" t="s">
        <v>64</v>
      </c>
      <c r="B145" s="4"/>
      <c r="C145" s="4" t="s">
        <v>171</v>
      </c>
      <c r="D145" s="65" t="s">
        <v>338</v>
      </c>
      <c r="E145" s="4" t="s">
        <v>438</v>
      </c>
      <c r="F145" s="17">
        <v>12</v>
      </c>
      <c r="G145" s="17">
        <v>0</v>
      </c>
      <c r="H145" s="17">
        <f>F145*AO145</f>
        <v>0</v>
      </c>
      <c r="I145" s="17">
        <f>F145*AP145</f>
        <v>0</v>
      </c>
      <c r="J145" s="17">
        <f>F145*G145</f>
        <v>0</v>
      </c>
      <c r="K145" s="17">
        <v>1.2E-2</v>
      </c>
      <c r="L145" s="17">
        <f>F145*K145</f>
        <v>0.14400000000000002</v>
      </c>
      <c r="M145" s="28"/>
      <c r="Z145" s="31">
        <f>IF(AQ145="5",BJ145,0)</f>
        <v>0</v>
      </c>
      <c r="AB145" s="31">
        <f>IF(AQ145="1",BH145,0)</f>
        <v>0</v>
      </c>
      <c r="AC145" s="31">
        <f>IF(AQ145="1",BI145,0)</f>
        <v>0</v>
      </c>
      <c r="AD145" s="31">
        <f>IF(AQ145="7",BH145,0)</f>
        <v>0</v>
      </c>
      <c r="AE145" s="31">
        <f>IF(AQ145="7",BI145,0)</f>
        <v>0</v>
      </c>
      <c r="AF145" s="31">
        <f>IF(AQ145="2",BH145,0)</f>
        <v>0</v>
      </c>
      <c r="AG145" s="31">
        <f>IF(AQ145="2",BI145,0)</f>
        <v>0</v>
      </c>
      <c r="AH145" s="31">
        <f>IF(AQ145="0",BJ145,0)</f>
        <v>0</v>
      </c>
      <c r="AI145" s="25"/>
      <c r="AJ145" s="17">
        <f>IF(AN145=0,J145,0)</f>
        <v>0</v>
      </c>
      <c r="AK145" s="17">
        <f>IF(AN145=15,J145,0)</f>
        <v>0</v>
      </c>
      <c r="AL145" s="17">
        <f>IF(AN145=21,J145,0)</f>
        <v>0</v>
      </c>
      <c r="AN145" s="31">
        <v>21</v>
      </c>
      <c r="AO145" s="31">
        <f>G145*0.846153846153846</f>
        <v>0</v>
      </c>
      <c r="AP145" s="31">
        <f>G145*(1-0.846153846153846)</f>
        <v>0</v>
      </c>
      <c r="AQ145" s="28" t="s">
        <v>12</v>
      </c>
      <c r="AV145" s="31">
        <f>AW145+AX145</f>
        <v>0</v>
      </c>
      <c r="AW145" s="31">
        <f>F145*AO145</f>
        <v>0</v>
      </c>
      <c r="AX145" s="31">
        <f>F145*AP145</f>
        <v>0</v>
      </c>
      <c r="AY145" s="32" t="s">
        <v>473</v>
      </c>
      <c r="AZ145" s="32" t="s">
        <v>479</v>
      </c>
      <c r="BA145" s="25" t="s">
        <v>482</v>
      </c>
      <c r="BC145" s="31">
        <f>AW145+AX145</f>
        <v>0</v>
      </c>
      <c r="BD145" s="31">
        <f>G145/(100-BE145)*100</f>
        <v>0</v>
      </c>
      <c r="BE145" s="31">
        <v>0</v>
      </c>
      <c r="BF145" s="31">
        <f>L145</f>
        <v>0.14400000000000002</v>
      </c>
      <c r="BH145" s="17">
        <f>F145*AO145</f>
        <v>0</v>
      </c>
      <c r="BI145" s="17">
        <f>F145*AP145</f>
        <v>0</v>
      </c>
      <c r="BJ145" s="17">
        <f>F145*G145</f>
        <v>0</v>
      </c>
    </row>
    <row r="146" spans="1:62">
      <c r="D146" s="14" t="s">
        <v>278</v>
      </c>
    </row>
    <row r="147" spans="1:62">
      <c r="D147" s="66" t="s">
        <v>339</v>
      </c>
      <c r="F147" s="18">
        <v>12</v>
      </c>
    </row>
    <row r="148" spans="1:62">
      <c r="A148" s="4" t="s">
        <v>65</v>
      </c>
      <c r="B148" s="4"/>
      <c r="C148" s="4" t="s">
        <v>172</v>
      </c>
      <c r="D148" s="65" t="s">
        <v>340</v>
      </c>
      <c r="E148" s="4" t="s">
        <v>436</v>
      </c>
      <c r="F148" s="17">
        <v>2</v>
      </c>
      <c r="G148" s="17">
        <v>0</v>
      </c>
      <c r="H148" s="17">
        <f>F148*AO148</f>
        <v>0</v>
      </c>
      <c r="I148" s="17">
        <f>F148*AP148</f>
        <v>0</v>
      </c>
      <c r="J148" s="17">
        <f>F148*G148</f>
        <v>0</v>
      </c>
      <c r="K148" s="17">
        <v>3.5000000000000001E-3</v>
      </c>
      <c r="L148" s="17">
        <f>F148*K148</f>
        <v>7.0000000000000001E-3</v>
      </c>
      <c r="M148" s="28"/>
      <c r="Z148" s="31">
        <f>IF(AQ148="5",BJ148,0)</f>
        <v>0</v>
      </c>
      <c r="AB148" s="31">
        <f>IF(AQ148="1",BH148,0)</f>
        <v>0</v>
      </c>
      <c r="AC148" s="31">
        <f>IF(AQ148="1",BI148,0)</f>
        <v>0</v>
      </c>
      <c r="AD148" s="31">
        <f>IF(AQ148="7",BH148,0)</f>
        <v>0</v>
      </c>
      <c r="AE148" s="31">
        <f>IF(AQ148="7",BI148,0)</f>
        <v>0</v>
      </c>
      <c r="AF148" s="31">
        <f>IF(AQ148="2",BH148,0)</f>
        <v>0</v>
      </c>
      <c r="AG148" s="31">
        <f>IF(AQ148="2",BI148,0)</f>
        <v>0</v>
      </c>
      <c r="AH148" s="31">
        <f>IF(AQ148="0",BJ148,0)</f>
        <v>0</v>
      </c>
      <c r="AI148" s="25"/>
      <c r="AJ148" s="17">
        <f>IF(AN148=0,J148,0)</f>
        <v>0</v>
      </c>
      <c r="AK148" s="17">
        <f>IF(AN148=15,J148,0)</f>
        <v>0</v>
      </c>
      <c r="AL148" s="17">
        <f>IF(AN148=21,J148,0)</f>
        <v>0</v>
      </c>
      <c r="AN148" s="31">
        <v>21</v>
      </c>
      <c r="AO148" s="31">
        <f>G148*0.973390101117616</f>
        <v>0</v>
      </c>
      <c r="AP148" s="31">
        <f>G148*(1-0.973390101117616)</f>
        <v>0</v>
      </c>
      <c r="AQ148" s="28" t="s">
        <v>12</v>
      </c>
      <c r="AV148" s="31">
        <f>AW148+AX148</f>
        <v>0</v>
      </c>
      <c r="AW148" s="31">
        <f>F148*AO148</f>
        <v>0</v>
      </c>
      <c r="AX148" s="31">
        <f>F148*AP148</f>
        <v>0</v>
      </c>
      <c r="AY148" s="32" t="s">
        <v>473</v>
      </c>
      <c r="AZ148" s="32" t="s">
        <v>479</v>
      </c>
      <c r="BA148" s="25" t="s">
        <v>482</v>
      </c>
      <c r="BC148" s="31">
        <f>AW148+AX148</f>
        <v>0</v>
      </c>
      <c r="BD148" s="31">
        <f>G148/(100-BE148)*100</f>
        <v>0</v>
      </c>
      <c r="BE148" s="31">
        <v>0</v>
      </c>
      <c r="BF148" s="31">
        <f>L148</f>
        <v>7.0000000000000001E-3</v>
      </c>
      <c r="BH148" s="17">
        <f>F148*AO148</f>
        <v>0</v>
      </c>
      <c r="BI148" s="17">
        <f>F148*AP148</f>
        <v>0</v>
      </c>
      <c r="BJ148" s="17">
        <f>F148*G148</f>
        <v>0</v>
      </c>
    </row>
    <row r="149" spans="1:62">
      <c r="D149" s="66" t="s">
        <v>341</v>
      </c>
      <c r="F149" s="18">
        <v>2</v>
      </c>
    </row>
    <row r="150" spans="1:62">
      <c r="A150" s="4" t="s">
        <v>66</v>
      </c>
      <c r="B150" s="4"/>
      <c r="C150" s="4" t="s">
        <v>173</v>
      </c>
      <c r="D150" s="65" t="s">
        <v>342</v>
      </c>
      <c r="E150" s="4" t="s">
        <v>436</v>
      </c>
      <c r="F150" s="17">
        <v>1</v>
      </c>
      <c r="G150" s="17">
        <v>0</v>
      </c>
      <c r="H150" s="17">
        <f>F150*AO150</f>
        <v>0</v>
      </c>
      <c r="I150" s="17">
        <f>F150*AP150</f>
        <v>0</v>
      </c>
      <c r="J150" s="17">
        <f>F150*G150</f>
        <v>0</v>
      </c>
      <c r="K150" s="17">
        <v>0</v>
      </c>
      <c r="L150" s="17">
        <f>F150*K150</f>
        <v>0</v>
      </c>
      <c r="M150" s="28"/>
      <c r="Z150" s="31">
        <f>IF(AQ150="5",BJ150,0)</f>
        <v>0</v>
      </c>
      <c r="AB150" s="31">
        <f>IF(AQ150="1",BH150,0)</f>
        <v>0</v>
      </c>
      <c r="AC150" s="31">
        <f>IF(AQ150="1",BI150,0)</f>
        <v>0</v>
      </c>
      <c r="AD150" s="31">
        <f>IF(AQ150="7",BH150,0)</f>
        <v>0</v>
      </c>
      <c r="AE150" s="31">
        <f>IF(AQ150="7",BI150,0)</f>
        <v>0</v>
      </c>
      <c r="AF150" s="31">
        <f>IF(AQ150="2",BH150,0)</f>
        <v>0</v>
      </c>
      <c r="AG150" s="31">
        <f>IF(AQ150="2",BI150,0)</f>
        <v>0</v>
      </c>
      <c r="AH150" s="31">
        <f>IF(AQ150="0",BJ150,0)</f>
        <v>0</v>
      </c>
      <c r="AI150" s="25"/>
      <c r="AJ150" s="17">
        <f>IF(AN150=0,J150,0)</f>
        <v>0</v>
      </c>
      <c r="AK150" s="17">
        <f>IF(AN150=15,J150,0)</f>
        <v>0</v>
      </c>
      <c r="AL150" s="17">
        <f>IF(AN150=21,J150,0)</f>
        <v>0</v>
      </c>
      <c r="AN150" s="31">
        <v>21</v>
      </c>
      <c r="AO150" s="31">
        <f>G150*0.87146529562982</f>
        <v>0</v>
      </c>
      <c r="AP150" s="31">
        <f>G150*(1-0.87146529562982)</f>
        <v>0</v>
      </c>
      <c r="AQ150" s="28" t="s">
        <v>12</v>
      </c>
      <c r="AV150" s="31">
        <f>AW150+AX150</f>
        <v>0</v>
      </c>
      <c r="AW150" s="31">
        <f>F150*AO150</f>
        <v>0</v>
      </c>
      <c r="AX150" s="31">
        <f>F150*AP150</f>
        <v>0</v>
      </c>
      <c r="AY150" s="32" t="s">
        <v>473</v>
      </c>
      <c r="AZ150" s="32" t="s">
        <v>479</v>
      </c>
      <c r="BA150" s="25" t="s">
        <v>482</v>
      </c>
      <c r="BC150" s="31">
        <f>AW150+AX150</f>
        <v>0</v>
      </c>
      <c r="BD150" s="31">
        <f>G150/(100-BE150)*100</f>
        <v>0</v>
      </c>
      <c r="BE150" s="31">
        <v>0</v>
      </c>
      <c r="BF150" s="31">
        <f>L150</f>
        <v>0</v>
      </c>
      <c r="BH150" s="17">
        <f>F150*AO150</f>
        <v>0</v>
      </c>
      <c r="BI150" s="17">
        <f>F150*AP150</f>
        <v>0</v>
      </c>
      <c r="BJ150" s="17">
        <f>F150*G150</f>
        <v>0</v>
      </c>
    </row>
    <row r="151" spans="1:62">
      <c r="D151" s="66" t="s">
        <v>343</v>
      </c>
      <c r="F151" s="18">
        <v>1</v>
      </c>
    </row>
    <row r="152" spans="1:62">
      <c r="A152" s="4" t="s">
        <v>67</v>
      </c>
      <c r="B152" s="4"/>
      <c r="C152" s="4" t="s">
        <v>174</v>
      </c>
      <c r="D152" s="65" t="s">
        <v>344</v>
      </c>
      <c r="E152" s="4" t="s">
        <v>436</v>
      </c>
      <c r="F152" s="17">
        <v>10</v>
      </c>
      <c r="G152" s="17">
        <v>0</v>
      </c>
      <c r="H152" s="17">
        <f>F152*AO152</f>
        <v>0</v>
      </c>
      <c r="I152" s="17">
        <f>F152*AP152</f>
        <v>0</v>
      </c>
      <c r="J152" s="17">
        <f>F152*G152</f>
        <v>0</v>
      </c>
      <c r="K152" s="17">
        <v>1.5E-3</v>
      </c>
      <c r="L152" s="17">
        <f>F152*K152</f>
        <v>1.4999999999999999E-2</v>
      </c>
      <c r="M152" s="28"/>
      <c r="Z152" s="31">
        <f>IF(AQ152="5",BJ152,0)</f>
        <v>0</v>
      </c>
      <c r="AB152" s="31">
        <f>IF(AQ152="1",BH152,0)</f>
        <v>0</v>
      </c>
      <c r="AC152" s="31">
        <f>IF(AQ152="1",BI152,0)</f>
        <v>0</v>
      </c>
      <c r="AD152" s="31">
        <f>IF(AQ152="7",BH152,0)</f>
        <v>0</v>
      </c>
      <c r="AE152" s="31">
        <f>IF(AQ152="7",BI152,0)</f>
        <v>0</v>
      </c>
      <c r="AF152" s="31">
        <f>IF(AQ152="2",BH152,0)</f>
        <v>0</v>
      </c>
      <c r="AG152" s="31">
        <f>IF(AQ152="2",BI152,0)</f>
        <v>0</v>
      </c>
      <c r="AH152" s="31">
        <f>IF(AQ152="0",BJ152,0)</f>
        <v>0</v>
      </c>
      <c r="AI152" s="25"/>
      <c r="AJ152" s="17">
        <f>IF(AN152=0,J152,0)</f>
        <v>0</v>
      </c>
      <c r="AK152" s="17">
        <f>IF(AN152=15,J152,0)</f>
        <v>0</v>
      </c>
      <c r="AL152" s="17">
        <f>IF(AN152=21,J152,0)</f>
        <v>0</v>
      </c>
      <c r="AN152" s="31">
        <v>21</v>
      </c>
      <c r="AO152" s="31">
        <f>G152*0.761904761904762</f>
        <v>0</v>
      </c>
      <c r="AP152" s="31">
        <f>G152*(1-0.761904761904762)</f>
        <v>0</v>
      </c>
      <c r="AQ152" s="28" t="s">
        <v>12</v>
      </c>
      <c r="AV152" s="31">
        <f>AW152+AX152</f>
        <v>0</v>
      </c>
      <c r="AW152" s="31">
        <f>F152*AO152</f>
        <v>0</v>
      </c>
      <c r="AX152" s="31">
        <f>F152*AP152</f>
        <v>0</v>
      </c>
      <c r="AY152" s="32" t="s">
        <v>473</v>
      </c>
      <c r="AZ152" s="32" t="s">
        <v>479</v>
      </c>
      <c r="BA152" s="25" t="s">
        <v>482</v>
      </c>
      <c r="BC152" s="31">
        <f>AW152+AX152</f>
        <v>0</v>
      </c>
      <c r="BD152" s="31">
        <f>G152/(100-BE152)*100</f>
        <v>0</v>
      </c>
      <c r="BE152" s="31">
        <v>0</v>
      </c>
      <c r="BF152" s="31">
        <f>L152</f>
        <v>1.4999999999999999E-2</v>
      </c>
      <c r="BH152" s="17">
        <f>F152*AO152</f>
        <v>0</v>
      </c>
      <c r="BI152" s="17">
        <f>F152*AP152</f>
        <v>0</v>
      </c>
      <c r="BJ152" s="17">
        <f>F152*G152</f>
        <v>0</v>
      </c>
    </row>
    <row r="153" spans="1:62">
      <c r="D153" s="66" t="s">
        <v>345</v>
      </c>
      <c r="F153" s="18">
        <v>10</v>
      </c>
    </row>
    <row r="154" spans="1:62">
      <c r="A154" s="4" t="s">
        <v>68</v>
      </c>
      <c r="B154" s="4"/>
      <c r="C154" s="4" t="s">
        <v>175</v>
      </c>
      <c r="D154" s="65" t="s">
        <v>346</v>
      </c>
      <c r="E154" s="4" t="s">
        <v>436</v>
      </c>
      <c r="F154" s="17">
        <v>12</v>
      </c>
      <c r="G154" s="17">
        <v>0</v>
      </c>
      <c r="H154" s="17">
        <f>F154*AO154</f>
        <v>0</v>
      </c>
      <c r="I154" s="17">
        <f>F154*AP154</f>
        <v>0</v>
      </c>
      <c r="J154" s="17">
        <f>F154*G154</f>
        <v>0</v>
      </c>
      <c r="K154" s="17">
        <v>1.6999999999999999E-3</v>
      </c>
      <c r="L154" s="17">
        <f>F154*K154</f>
        <v>2.0399999999999998E-2</v>
      </c>
      <c r="M154" s="28"/>
      <c r="Z154" s="31">
        <f>IF(AQ154="5",BJ154,0)</f>
        <v>0</v>
      </c>
      <c r="AB154" s="31">
        <f>IF(AQ154="1",BH154,0)</f>
        <v>0</v>
      </c>
      <c r="AC154" s="31">
        <f>IF(AQ154="1",BI154,0)</f>
        <v>0</v>
      </c>
      <c r="AD154" s="31">
        <f>IF(AQ154="7",BH154,0)</f>
        <v>0</v>
      </c>
      <c r="AE154" s="31">
        <f>IF(AQ154="7",BI154,0)</f>
        <v>0</v>
      </c>
      <c r="AF154" s="31">
        <f>IF(AQ154="2",BH154,0)</f>
        <v>0</v>
      </c>
      <c r="AG154" s="31">
        <f>IF(AQ154="2",BI154,0)</f>
        <v>0</v>
      </c>
      <c r="AH154" s="31">
        <f>IF(AQ154="0",BJ154,0)</f>
        <v>0</v>
      </c>
      <c r="AI154" s="25"/>
      <c r="AJ154" s="17">
        <f>IF(AN154=0,J154,0)</f>
        <v>0</v>
      </c>
      <c r="AK154" s="17">
        <f>IF(AN154=15,J154,0)</f>
        <v>0</v>
      </c>
      <c r="AL154" s="17">
        <f>IF(AN154=21,J154,0)</f>
        <v>0</v>
      </c>
      <c r="AN154" s="31">
        <v>21</v>
      </c>
      <c r="AO154" s="31">
        <f>G154*0.813780260707635</f>
        <v>0</v>
      </c>
      <c r="AP154" s="31">
        <f>G154*(1-0.813780260707635)</f>
        <v>0</v>
      </c>
      <c r="AQ154" s="28" t="s">
        <v>12</v>
      </c>
      <c r="AV154" s="31">
        <f>AW154+AX154</f>
        <v>0</v>
      </c>
      <c r="AW154" s="31">
        <f>F154*AO154</f>
        <v>0</v>
      </c>
      <c r="AX154" s="31">
        <f>F154*AP154</f>
        <v>0</v>
      </c>
      <c r="AY154" s="32" t="s">
        <v>473</v>
      </c>
      <c r="AZ154" s="32" t="s">
        <v>479</v>
      </c>
      <c r="BA154" s="25" t="s">
        <v>482</v>
      </c>
      <c r="BC154" s="31">
        <f>AW154+AX154</f>
        <v>0</v>
      </c>
      <c r="BD154" s="31">
        <f>G154/(100-BE154)*100</f>
        <v>0</v>
      </c>
      <c r="BE154" s="31">
        <v>0</v>
      </c>
      <c r="BF154" s="31">
        <f>L154</f>
        <v>2.0399999999999998E-2</v>
      </c>
      <c r="BH154" s="17">
        <f>F154*AO154</f>
        <v>0</v>
      </c>
      <c r="BI154" s="17">
        <f>F154*AP154</f>
        <v>0</v>
      </c>
      <c r="BJ154" s="17">
        <f>F154*G154</f>
        <v>0</v>
      </c>
    </row>
    <row r="155" spans="1:62">
      <c r="D155" s="66" t="s">
        <v>347</v>
      </c>
      <c r="F155" s="18">
        <v>12</v>
      </c>
    </row>
    <row r="156" spans="1:62">
      <c r="A156" s="4" t="s">
        <v>69</v>
      </c>
      <c r="B156" s="4"/>
      <c r="C156" s="4" t="s">
        <v>176</v>
      </c>
      <c r="D156" s="65" t="s">
        <v>348</v>
      </c>
      <c r="E156" s="4" t="s">
        <v>436</v>
      </c>
      <c r="F156" s="17">
        <v>10</v>
      </c>
      <c r="G156" s="17">
        <v>0</v>
      </c>
      <c r="H156" s="17">
        <f>F156*AO156</f>
        <v>0</v>
      </c>
      <c r="I156" s="17">
        <f>F156*AP156</f>
        <v>0</v>
      </c>
      <c r="J156" s="17">
        <f>F156*G156</f>
        <v>0</v>
      </c>
      <c r="K156" s="17">
        <v>1.9E-3</v>
      </c>
      <c r="L156" s="17">
        <f>F156*K156</f>
        <v>1.9E-2</v>
      </c>
      <c r="M156" s="28"/>
      <c r="Z156" s="31">
        <f>IF(AQ156="5",BJ156,0)</f>
        <v>0</v>
      </c>
      <c r="AB156" s="31">
        <f>IF(AQ156="1",BH156,0)</f>
        <v>0</v>
      </c>
      <c r="AC156" s="31">
        <f>IF(AQ156="1",BI156,0)</f>
        <v>0</v>
      </c>
      <c r="AD156" s="31">
        <f>IF(AQ156="7",BH156,0)</f>
        <v>0</v>
      </c>
      <c r="AE156" s="31">
        <f>IF(AQ156="7",BI156,0)</f>
        <v>0</v>
      </c>
      <c r="AF156" s="31">
        <f>IF(AQ156="2",BH156,0)</f>
        <v>0</v>
      </c>
      <c r="AG156" s="31">
        <f>IF(AQ156="2",BI156,0)</f>
        <v>0</v>
      </c>
      <c r="AH156" s="31">
        <f>IF(AQ156="0",BJ156,0)</f>
        <v>0</v>
      </c>
      <c r="AI156" s="25"/>
      <c r="AJ156" s="17">
        <f>IF(AN156=0,J156,0)</f>
        <v>0</v>
      </c>
      <c r="AK156" s="17">
        <f>IF(AN156=15,J156,0)</f>
        <v>0</v>
      </c>
      <c r="AL156" s="17">
        <f>IF(AN156=21,J156,0)</f>
        <v>0</v>
      </c>
      <c r="AN156" s="31">
        <v>21</v>
      </c>
      <c r="AO156" s="31">
        <f>G156*0.84984984984985</f>
        <v>0</v>
      </c>
      <c r="AP156" s="31">
        <f>G156*(1-0.84984984984985)</f>
        <v>0</v>
      </c>
      <c r="AQ156" s="28" t="s">
        <v>12</v>
      </c>
      <c r="AV156" s="31">
        <f>AW156+AX156</f>
        <v>0</v>
      </c>
      <c r="AW156" s="31">
        <f>F156*AO156</f>
        <v>0</v>
      </c>
      <c r="AX156" s="31">
        <f>F156*AP156</f>
        <v>0</v>
      </c>
      <c r="AY156" s="32" t="s">
        <v>473</v>
      </c>
      <c r="AZ156" s="32" t="s">
        <v>479</v>
      </c>
      <c r="BA156" s="25" t="s">
        <v>482</v>
      </c>
      <c r="BC156" s="31">
        <f>AW156+AX156</f>
        <v>0</v>
      </c>
      <c r="BD156" s="31">
        <f>G156/(100-BE156)*100</f>
        <v>0</v>
      </c>
      <c r="BE156" s="31">
        <v>0</v>
      </c>
      <c r="BF156" s="31">
        <f>L156</f>
        <v>1.9E-2</v>
      </c>
      <c r="BH156" s="17">
        <f>F156*AO156</f>
        <v>0</v>
      </c>
      <c r="BI156" s="17">
        <f>F156*AP156</f>
        <v>0</v>
      </c>
      <c r="BJ156" s="17">
        <f>F156*G156</f>
        <v>0</v>
      </c>
    </row>
    <row r="157" spans="1:62">
      <c r="D157" s="66" t="s">
        <v>349</v>
      </c>
      <c r="F157" s="18">
        <v>10</v>
      </c>
    </row>
    <row r="158" spans="1:62">
      <c r="A158" s="4" t="s">
        <v>70</v>
      </c>
      <c r="B158" s="4"/>
      <c r="C158" s="4" t="s">
        <v>177</v>
      </c>
      <c r="D158" s="65" t="s">
        <v>350</v>
      </c>
      <c r="E158" s="4" t="s">
        <v>436</v>
      </c>
      <c r="F158" s="17">
        <v>1</v>
      </c>
      <c r="G158" s="17">
        <v>0</v>
      </c>
      <c r="H158" s="17">
        <f>F158*AO158</f>
        <v>0</v>
      </c>
      <c r="I158" s="17">
        <f>F158*AP158</f>
        <v>0</v>
      </c>
      <c r="J158" s="17">
        <f>F158*G158</f>
        <v>0</v>
      </c>
      <c r="K158" s="17">
        <v>2E-3</v>
      </c>
      <c r="L158" s="17">
        <f>F158*K158</f>
        <v>2E-3</v>
      </c>
      <c r="M158" s="28"/>
      <c r="Z158" s="31">
        <f>IF(AQ158="5",BJ158,0)</f>
        <v>0</v>
      </c>
      <c r="AB158" s="31">
        <f>IF(AQ158="1",BH158,0)</f>
        <v>0</v>
      </c>
      <c r="AC158" s="31">
        <f>IF(AQ158="1",BI158,0)</f>
        <v>0</v>
      </c>
      <c r="AD158" s="31">
        <f>IF(AQ158="7",BH158,0)</f>
        <v>0</v>
      </c>
      <c r="AE158" s="31">
        <f>IF(AQ158="7",BI158,0)</f>
        <v>0</v>
      </c>
      <c r="AF158" s="31">
        <f>IF(AQ158="2",BH158,0)</f>
        <v>0</v>
      </c>
      <c r="AG158" s="31">
        <f>IF(AQ158="2",BI158,0)</f>
        <v>0</v>
      </c>
      <c r="AH158" s="31">
        <f>IF(AQ158="0",BJ158,0)</f>
        <v>0</v>
      </c>
      <c r="AI158" s="25"/>
      <c r="AJ158" s="17">
        <f>IF(AN158=0,J158,0)</f>
        <v>0</v>
      </c>
      <c r="AK158" s="17">
        <f>IF(AN158=15,J158,0)</f>
        <v>0</v>
      </c>
      <c r="AL158" s="17">
        <f>IF(AN158=21,J158,0)</f>
        <v>0</v>
      </c>
      <c r="AN158" s="31">
        <v>21</v>
      </c>
      <c r="AO158" s="31">
        <f>G158*0.899598393574297</f>
        <v>0</v>
      </c>
      <c r="AP158" s="31">
        <f>G158*(1-0.899598393574297)</f>
        <v>0</v>
      </c>
      <c r="AQ158" s="28" t="s">
        <v>12</v>
      </c>
      <c r="AV158" s="31">
        <f>AW158+AX158</f>
        <v>0</v>
      </c>
      <c r="AW158" s="31">
        <f>F158*AO158</f>
        <v>0</v>
      </c>
      <c r="AX158" s="31">
        <f>F158*AP158</f>
        <v>0</v>
      </c>
      <c r="AY158" s="32" t="s">
        <v>473</v>
      </c>
      <c r="AZ158" s="32" t="s">
        <v>479</v>
      </c>
      <c r="BA158" s="25" t="s">
        <v>482</v>
      </c>
      <c r="BC158" s="31">
        <f>AW158+AX158</f>
        <v>0</v>
      </c>
      <c r="BD158" s="31">
        <f>G158/(100-BE158)*100</f>
        <v>0</v>
      </c>
      <c r="BE158" s="31">
        <v>0</v>
      </c>
      <c r="BF158" s="31">
        <f>L158</f>
        <v>2E-3</v>
      </c>
      <c r="BH158" s="17">
        <f>F158*AO158</f>
        <v>0</v>
      </c>
      <c r="BI158" s="17">
        <f>F158*AP158</f>
        <v>0</v>
      </c>
      <c r="BJ158" s="17">
        <f>F158*G158</f>
        <v>0</v>
      </c>
    </row>
    <row r="159" spans="1:62">
      <c r="D159" s="66" t="s">
        <v>351</v>
      </c>
      <c r="F159" s="18">
        <v>1</v>
      </c>
    </row>
    <row r="160" spans="1:62">
      <c r="A160" s="4" t="s">
        <v>71</v>
      </c>
      <c r="B160" s="4"/>
      <c r="C160" s="4" t="s">
        <v>178</v>
      </c>
      <c r="D160" s="65" t="s">
        <v>352</v>
      </c>
      <c r="E160" s="4" t="s">
        <v>436</v>
      </c>
      <c r="F160" s="17">
        <v>2</v>
      </c>
      <c r="G160" s="17">
        <v>0</v>
      </c>
      <c r="H160" s="17">
        <f>F160*AO160</f>
        <v>0</v>
      </c>
      <c r="I160" s="17">
        <f>F160*AP160</f>
        <v>0</v>
      </c>
      <c r="J160" s="17">
        <f>F160*G160</f>
        <v>0</v>
      </c>
      <c r="K160" s="17">
        <v>3.0000000000000001E-3</v>
      </c>
      <c r="L160" s="17">
        <f>F160*K160</f>
        <v>6.0000000000000001E-3</v>
      </c>
      <c r="M160" s="28"/>
      <c r="Z160" s="31">
        <f>IF(AQ160="5",BJ160,0)</f>
        <v>0</v>
      </c>
      <c r="AB160" s="31">
        <f>IF(AQ160="1",BH160,0)</f>
        <v>0</v>
      </c>
      <c r="AC160" s="31">
        <f>IF(AQ160="1",BI160,0)</f>
        <v>0</v>
      </c>
      <c r="AD160" s="31">
        <f>IF(AQ160="7",BH160,0)</f>
        <v>0</v>
      </c>
      <c r="AE160" s="31">
        <f>IF(AQ160="7",BI160,0)</f>
        <v>0</v>
      </c>
      <c r="AF160" s="31">
        <f>IF(AQ160="2",BH160,0)</f>
        <v>0</v>
      </c>
      <c r="AG160" s="31">
        <f>IF(AQ160="2",BI160,0)</f>
        <v>0</v>
      </c>
      <c r="AH160" s="31">
        <f>IF(AQ160="0",BJ160,0)</f>
        <v>0</v>
      </c>
      <c r="AI160" s="25"/>
      <c r="AJ160" s="17">
        <f>IF(AN160=0,J160,0)</f>
        <v>0</v>
      </c>
      <c r="AK160" s="17">
        <f>IF(AN160=15,J160,0)</f>
        <v>0</v>
      </c>
      <c r="AL160" s="17">
        <f>IF(AN160=21,J160,0)</f>
        <v>0</v>
      </c>
      <c r="AN160" s="31">
        <v>21</v>
      </c>
      <c r="AO160" s="31">
        <f>G160*0.919871794871795</f>
        <v>0</v>
      </c>
      <c r="AP160" s="31">
        <f>G160*(1-0.919871794871795)</f>
        <v>0</v>
      </c>
      <c r="AQ160" s="28" t="s">
        <v>12</v>
      </c>
      <c r="AV160" s="31">
        <f>AW160+AX160</f>
        <v>0</v>
      </c>
      <c r="AW160" s="31">
        <f>F160*AO160</f>
        <v>0</v>
      </c>
      <c r="AX160" s="31">
        <f>F160*AP160</f>
        <v>0</v>
      </c>
      <c r="AY160" s="32" t="s">
        <v>473</v>
      </c>
      <c r="AZ160" s="32" t="s">
        <v>479</v>
      </c>
      <c r="BA160" s="25" t="s">
        <v>482</v>
      </c>
      <c r="BC160" s="31">
        <f>AW160+AX160</f>
        <v>0</v>
      </c>
      <c r="BD160" s="31">
        <f>G160/(100-BE160)*100</f>
        <v>0</v>
      </c>
      <c r="BE160" s="31">
        <v>0</v>
      </c>
      <c r="BF160" s="31">
        <f>L160</f>
        <v>6.0000000000000001E-3</v>
      </c>
      <c r="BH160" s="17">
        <f>F160*AO160</f>
        <v>0</v>
      </c>
      <c r="BI160" s="17">
        <f>F160*AP160</f>
        <v>0</v>
      </c>
      <c r="BJ160" s="17">
        <f>F160*G160</f>
        <v>0</v>
      </c>
    </row>
    <row r="161" spans="1:62">
      <c r="D161" s="66" t="s">
        <v>353</v>
      </c>
      <c r="F161" s="18">
        <v>2</v>
      </c>
    </row>
    <row r="162" spans="1:62">
      <c r="A162" s="4" t="s">
        <v>72</v>
      </c>
      <c r="B162" s="4"/>
      <c r="C162" s="4" t="s">
        <v>179</v>
      </c>
      <c r="D162" s="65" t="s">
        <v>354</v>
      </c>
      <c r="E162" s="4" t="s">
        <v>437</v>
      </c>
      <c r="F162" s="17">
        <v>655</v>
      </c>
      <c r="G162" s="17">
        <v>0</v>
      </c>
      <c r="H162" s="17">
        <f>F162*AO162</f>
        <v>0</v>
      </c>
      <c r="I162" s="17">
        <f>F162*AP162</f>
        <v>0</v>
      </c>
      <c r="J162" s="17">
        <f>F162*G162</f>
        <v>0</v>
      </c>
      <c r="K162" s="17">
        <v>3.4000000000000002E-4</v>
      </c>
      <c r="L162" s="17">
        <f>F162*K162</f>
        <v>0.22270000000000001</v>
      </c>
      <c r="M162" s="28" t="s">
        <v>462</v>
      </c>
      <c r="Z162" s="31">
        <f>IF(AQ162="5",BJ162,0)</f>
        <v>0</v>
      </c>
      <c r="AB162" s="31">
        <f>IF(AQ162="1",BH162,0)</f>
        <v>0</v>
      </c>
      <c r="AC162" s="31">
        <f>IF(AQ162="1",BI162,0)</f>
        <v>0</v>
      </c>
      <c r="AD162" s="31">
        <f>IF(AQ162="7",BH162,0)</f>
        <v>0</v>
      </c>
      <c r="AE162" s="31">
        <f>IF(AQ162="7",BI162,0)</f>
        <v>0</v>
      </c>
      <c r="AF162" s="31">
        <f>IF(AQ162="2",BH162,0)</f>
        <v>0</v>
      </c>
      <c r="AG162" s="31">
        <f>IF(AQ162="2",BI162,0)</f>
        <v>0</v>
      </c>
      <c r="AH162" s="31">
        <f>IF(AQ162="0",BJ162,0)</f>
        <v>0</v>
      </c>
      <c r="AI162" s="25"/>
      <c r="AJ162" s="17">
        <f>IF(AN162=0,J162,0)</f>
        <v>0</v>
      </c>
      <c r="AK162" s="17">
        <f>IF(AN162=15,J162,0)</f>
        <v>0</v>
      </c>
      <c r="AL162" s="17">
        <f>IF(AN162=21,J162,0)</f>
        <v>0</v>
      </c>
      <c r="AN162" s="31">
        <v>21</v>
      </c>
      <c r="AO162" s="31">
        <f>G162*0.203741496598639</f>
        <v>0</v>
      </c>
      <c r="AP162" s="31">
        <f>G162*(1-0.203741496598639)</f>
        <v>0</v>
      </c>
      <c r="AQ162" s="28" t="s">
        <v>12</v>
      </c>
      <c r="AV162" s="31">
        <f>AW162+AX162</f>
        <v>0</v>
      </c>
      <c r="AW162" s="31">
        <f>F162*AO162</f>
        <v>0</v>
      </c>
      <c r="AX162" s="31">
        <f>F162*AP162</f>
        <v>0</v>
      </c>
      <c r="AY162" s="32" t="s">
        <v>473</v>
      </c>
      <c r="AZ162" s="32" t="s">
        <v>479</v>
      </c>
      <c r="BA162" s="25" t="s">
        <v>482</v>
      </c>
      <c r="BC162" s="31">
        <f>AW162+AX162</f>
        <v>0</v>
      </c>
      <c r="BD162" s="31">
        <f>G162/(100-BE162)*100</f>
        <v>0</v>
      </c>
      <c r="BE162" s="31">
        <v>0</v>
      </c>
      <c r="BF162" s="31">
        <f>L162</f>
        <v>0.22270000000000001</v>
      </c>
      <c r="BH162" s="17">
        <f>F162*AO162</f>
        <v>0</v>
      </c>
      <c r="BI162" s="17">
        <f>F162*AP162</f>
        <v>0</v>
      </c>
      <c r="BJ162" s="17">
        <f>F162*G162</f>
        <v>0</v>
      </c>
    </row>
    <row r="163" spans="1:62">
      <c r="D163" s="66" t="s">
        <v>355</v>
      </c>
      <c r="F163" s="18">
        <v>655</v>
      </c>
    </row>
    <row r="164" spans="1:62">
      <c r="A164" s="4" t="s">
        <v>73</v>
      </c>
      <c r="B164" s="4"/>
      <c r="C164" s="4" t="s">
        <v>180</v>
      </c>
      <c r="D164" s="65" t="s">
        <v>356</v>
      </c>
      <c r="E164" s="4" t="s">
        <v>437</v>
      </c>
      <c r="F164" s="17">
        <v>655</v>
      </c>
      <c r="G164" s="17">
        <v>0</v>
      </c>
      <c r="H164" s="17">
        <f>F164*AO164</f>
        <v>0</v>
      </c>
      <c r="I164" s="17">
        <f>F164*AP164</f>
        <v>0</v>
      </c>
      <c r="J164" s="17">
        <f>F164*G164</f>
        <v>0</v>
      </c>
      <c r="K164" s="17">
        <v>1.0000000000000001E-5</v>
      </c>
      <c r="L164" s="17">
        <f>F164*K164</f>
        <v>6.5500000000000003E-3</v>
      </c>
      <c r="M164" s="28" t="s">
        <v>462</v>
      </c>
      <c r="Z164" s="31">
        <f>IF(AQ164="5",BJ164,0)</f>
        <v>0</v>
      </c>
      <c r="AB164" s="31">
        <f>IF(AQ164="1",BH164,0)</f>
        <v>0</v>
      </c>
      <c r="AC164" s="31">
        <f>IF(AQ164="1",BI164,0)</f>
        <v>0</v>
      </c>
      <c r="AD164" s="31">
        <f>IF(AQ164="7",BH164,0)</f>
        <v>0</v>
      </c>
      <c r="AE164" s="31">
        <f>IF(AQ164="7",BI164,0)</f>
        <v>0</v>
      </c>
      <c r="AF164" s="31">
        <f>IF(AQ164="2",BH164,0)</f>
        <v>0</v>
      </c>
      <c r="AG164" s="31">
        <f>IF(AQ164="2",BI164,0)</f>
        <v>0</v>
      </c>
      <c r="AH164" s="31">
        <f>IF(AQ164="0",BJ164,0)</f>
        <v>0</v>
      </c>
      <c r="AI164" s="25"/>
      <c r="AJ164" s="17">
        <f>IF(AN164=0,J164,0)</f>
        <v>0</v>
      </c>
      <c r="AK164" s="17">
        <f>IF(AN164=15,J164,0)</f>
        <v>0</v>
      </c>
      <c r="AL164" s="17">
        <f>IF(AN164=21,J164,0)</f>
        <v>0</v>
      </c>
      <c r="AN164" s="31">
        <v>21</v>
      </c>
      <c r="AO164" s="31">
        <f>G164*0.0507987220447284</f>
        <v>0</v>
      </c>
      <c r="AP164" s="31">
        <f>G164*(1-0.0507987220447284)</f>
        <v>0</v>
      </c>
      <c r="AQ164" s="28" t="s">
        <v>12</v>
      </c>
      <c r="AV164" s="31">
        <f>AW164+AX164</f>
        <v>0</v>
      </c>
      <c r="AW164" s="31">
        <f>F164*AO164</f>
        <v>0</v>
      </c>
      <c r="AX164" s="31">
        <f>F164*AP164</f>
        <v>0</v>
      </c>
      <c r="AY164" s="32" t="s">
        <v>473</v>
      </c>
      <c r="AZ164" s="32" t="s">
        <v>479</v>
      </c>
      <c r="BA164" s="25" t="s">
        <v>482</v>
      </c>
      <c r="BC164" s="31">
        <f>AW164+AX164</f>
        <v>0</v>
      </c>
      <c r="BD164" s="31">
        <f>G164/(100-BE164)*100</f>
        <v>0</v>
      </c>
      <c r="BE164" s="31">
        <v>0</v>
      </c>
      <c r="BF164" s="31">
        <f>L164</f>
        <v>6.5500000000000003E-3</v>
      </c>
      <c r="BH164" s="17">
        <f>F164*AO164</f>
        <v>0</v>
      </c>
      <c r="BI164" s="17">
        <f>F164*AP164</f>
        <v>0</v>
      </c>
      <c r="BJ164" s="17">
        <f>F164*G164</f>
        <v>0</v>
      </c>
    </row>
    <row r="165" spans="1:62">
      <c r="D165" s="66" t="s">
        <v>355</v>
      </c>
      <c r="F165" s="18">
        <v>655</v>
      </c>
    </row>
    <row r="166" spans="1:62">
      <c r="A166" s="4" t="s">
        <v>74</v>
      </c>
      <c r="B166" s="4"/>
      <c r="C166" s="4" t="s">
        <v>181</v>
      </c>
      <c r="D166" s="65" t="s">
        <v>357</v>
      </c>
      <c r="E166" s="4" t="s">
        <v>439</v>
      </c>
      <c r="F166" s="17">
        <v>10</v>
      </c>
      <c r="G166" s="17">
        <v>0</v>
      </c>
      <c r="H166" s="17">
        <f>F166*AO166</f>
        <v>0</v>
      </c>
      <c r="I166" s="17">
        <f>F166*AP166</f>
        <v>0</v>
      </c>
      <c r="J166" s="17">
        <f>F166*G166</f>
        <v>0</v>
      </c>
      <c r="K166" s="17">
        <v>0</v>
      </c>
      <c r="L166" s="17">
        <f>F166*K166</f>
        <v>0</v>
      </c>
      <c r="M166" s="28" t="s">
        <v>462</v>
      </c>
      <c r="Z166" s="31">
        <f>IF(AQ166="5",BJ166,0)</f>
        <v>0</v>
      </c>
      <c r="AB166" s="31">
        <f>IF(AQ166="1",BH166,0)</f>
        <v>0</v>
      </c>
      <c r="AC166" s="31">
        <f>IF(AQ166="1",BI166,0)</f>
        <v>0</v>
      </c>
      <c r="AD166" s="31">
        <f>IF(AQ166="7",BH166,0)</f>
        <v>0</v>
      </c>
      <c r="AE166" s="31">
        <f>IF(AQ166="7",BI166,0)</f>
        <v>0</v>
      </c>
      <c r="AF166" s="31">
        <f>IF(AQ166="2",BH166,0)</f>
        <v>0</v>
      </c>
      <c r="AG166" s="31">
        <f>IF(AQ166="2",BI166,0)</f>
        <v>0</v>
      </c>
      <c r="AH166" s="31">
        <f>IF(AQ166="0",BJ166,0)</f>
        <v>0</v>
      </c>
      <c r="AI166" s="25"/>
      <c r="AJ166" s="17">
        <f>IF(AN166=0,J166,0)</f>
        <v>0</v>
      </c>
      <c r="AK166" s="17">
        <f>IF(AN166=15,J166,0)</f>
        <v>0</v>
      </c>
      <c r="AL166" s="17">
        <f>IF(AN166=21,J166,0)</f>
        <v>0</v>
      </c>
      <c r="AN166" s="31">
        <v>21</v>
      </c>
      <c r="AO166" s="31">
        <f>G166*0</f>
        <v>0</v>
      </c>
      <c r="AP166" s="31">
        <f>G166*(1-0)</f>
        <v>0</v>
      </c>
      <c r="AQ166" s="28" t="s">
        <v>10</v>
      </c>
      <c r="AV166" s="31">
        <f>AW166+AX166</f>
        <v>0</v>
      </c>
      <c r="AW166" s="31">
        <f>F166*AO166</f>
        <v>0</v>
      </c>
      <c r="AX166" s="31">
        <f>F166*AP166</f>
        <v>0</v>
      </c>
      <c r="AY166" s="32" t="s">
        <v>473</v>
      </c>
      <c r="AZ166" s="32" t="s">
        <v>479</v>
      </c>
      <c r="BA166" s="25" t="s">
        <v>482</v>
      </c>
      <c r="BC166" s="31">
        <f>AW166+AX166</f>
        <v>0</v>
      </c>
      <c r="BD166" s="31">
        <f>G166/(100-BE166)*100</f>
        <v>0</v>
      </c>
      <c r="BE166" s="31">
        <v>0</v>
      </c>
      <c r="BF166" s="31">
        <f>L166</f>
        <v>0</v>
      </c>
      <c r="BH166" s="17">
        <f>F166*AO166</f>
        <v>0</v>
      </c>
      <c r="BI166" s="17">
        <f>F166*AP166</f>
        <v>0</v>
      </c>
      <c r="BJ166" s="17">
        <f>F166*G166</f>
        <v>0</v>
      </c>
    </row>
    <row r="167" spans="1:62">
      <c r="D167" s="66" t="s">
        <v>358</v>
      </c>
      <c r="F167" s="18">
        <v>10</v>
      </c>
    </row>
    <row r="168" spans="1:62">
      <c r="A168" s="5"/>
      <c r="B168" s="12"/>
      <c r="C168" s="12" t="s">
        <v>182</v>
      </c>
      <c r="D168" s="67" t="s">
        <v>359</v>
      </c>
      <c r="E168" s="5" t="s">
        <v>5</v>
      </c>
      <c r="F168" s="5" t="s">
        <v>5</v>
      </c>
      <c r="G168" s="5" t="s">
        <v>5</v>
      </c>
      <c r="H168" s="34">
        <f>SUM(H169:H208)</f>
        <v>0</v>
      </c>
      <c r="I168" s="34">
        <f>SUM(I169:I208)</f>
        <v>0</v>
      </c>
      <c r="J168" s="34">
        <f>SUM(J169:J208)</f>
        <v>0</v>
      </c>
      <c r="K168" s="25"/>
      <c r="L168" s="34">
        <f>SUM(L169:L208)</f>
        <v>8.4535900000000002</v>
      </c>
      <c r="M168" s="25"/>
      <c r="AI168" s="25"/>
      <c r="AS168" s="34">
        <f>SUM(AJ169:AJ208)</f>
        <v>0</v>
      </c>
      <c r="AT168" s="34">
        <f>SUM(AK169:AK208)</f>
        <v>0</v>
      </c>
      <c r="AU168" s="34">
        <f>SUM(AL169:AL208)</f>
        <v>0</v>
      </c>
    </row>
    <row r="169" spans="1:62">
      <c r="A169" s="4" t="s">
        <v>75</v>
      </c>
      <c r="B169" s="4"/>
      <c r="C169" s="4" t="s">
        <v>183</v>
      </c>
      <c r="D169" s="65" t="s">
        <v>224</v>
      </c>
      <c r="E169" s="4" t="s">
        <v>435</v>
      </c>
      <c r="F169" s="17">
        <v>50</v>
      </c>
      <c r="G169" s="17">
        <v>0</v>
      </c>
      <c r="H169" s="17">
        <f>F169*AO169</f>
        <v>0</v>
      </c>
      <c r="I169" s="17">
        <f>F169*AP169</f>
        <v>0</v>
      </c>
      <c r="J169" s="17">
        <f>F169*G169</f>
        <v>0</v>
      </c>
      <c r="K169" s="17">
        <v>0</v>
      </c>
      <c r="L169" s="17">
        <f>F169*K169</f>
        <v>0</v>
      </c>
      <c r="M169" s="28"/>
      <c r="Z169" s="31">
        <f>IF(AQ169="5",BJ169,0)</f>
        <v>0</v>
      </c>
      <c r="AB169" s="31">
        <f>IF(AQ169="1",BH169,0)</f>
        <v>0</v>
      </c>
      <c r="AC169" s="31">
        <f>IF(AQ169="1",BI169,0)</f>
        <v>0</v>
      </c>
      <c r="AD169" s="31">
        <f>IF(AQ169="7",BH169,0)</f>
        <v>0</v>
      </c>
      <c r="AE169" s="31">
        <f>IF(AQ169="7",BI169,0)</f>
        <v>0</v>
      </c>
      <c r="AF169" s="31">
        <f>IF(AQ169="2",BH169,0)</f>
        <v>0</v>
      </c>
      <c r="AG169" s="31">
        <f>IF(AQ169="2",BI169,0)</f>
        <v>0</v>
      </c>
      <c r="AH169" s="31">
        <f>IF(AQ169="0",BJ169,0)</f>
        <v>0</v>
      </c>
      <c r="AI169" s="25"/>
      <c r="AJ169" s="17">
        <f>IF(AN169=0,J169,0)</f>
        <v>0</v>
      </c>
      <c r="AK169" s="17">
        <f>IF(AN169=15,J169,0)</f>
        <v>0</v>
      </c>
      <c r="AL169" s="17">
        <f>IF(AN169=21,J169,0)</f>
        <v>0</v>
      </c>
      <c r="AN169" s="31">
        <v>21</v>
      </c>
      <c r="AO169" s="31">
        <f>G169*0</f>
        <v>0</v>
      </c>
      <c r="AP169" s="31">
        <f>G169*(1-0)</f>
        <v>0</v>
      </c>
      <c r="AQ169" s="28" t="s">
        <v>12</v>
      </c>
      <c r="AV169" s="31">
        <f>AW169+AX169</f>
        <v>0</v>
      </c>
      <c r="AW169" s="31">
        <f>F169*AO169</f>
        <v>0</v>
      </c>
      <c r="AX169" s="31">
        <f>F169*AP169</f>
        <v>0</v>
      </c>
      <c r="AY169" s="32" t="s">
        <v>474</v>
      </c>
      <c r="AZ169" s="32" t="s">
        <v>479</v>
      </c>
      <c r="BA169" s="25" t="s">
        <v>482</v>
      </c>
      <c r="BC169" s="31">
        <f>AW169+AX169</f>
        <v>0</v>
      </c>
      <c r="BD169" s="31">
        <f>G169/(100-BE169)*100</f>
        <v>0</v>
      </c>
      <c r="BE169" s="31">
        <v>0</v>
      </c>
      <c r="BF169" s="31">
        <f>L169</f>
        <v>0</v>
      </c>
      <c r="BH169" s="17">
        <f>F169*AO169</f>
        <v>0</v>
      </c>
      <c r="BI169" s="17">
        <f>F169*AP169</f>
        <v>0</v>
      </c>
      <c r="BJ169" s="17">
        <f>F169*G169</f>
        <v>0</v>
      </c>
    </row>
    <row r="170" spans="1:62">
      <c r="D170" s="66" t="s">
        <v>333</v>
      </c>
      <c r="F170" s="18">
        <v>50</v>
      </c>
    </row>
    <row r="171" spans="1:62" ht="25.5">
      <c r="A171" s="4" t="s">
        <v>76</v>
      </c>
      <c r="B171" s="4"/>
      <c r="C171" s="4" t="s">
        <v>184</v>
      </c>
      <c r="D171" s="65" t="s">
        <v>360</v>
      </c>
      <c r="E171" s="4" t="s">
        <v>438</v>
      </c>
      <c r="F171" s="17">
        <v>12</v>
      </c>
      <c r="G171" s="17">
        <v>0</v>
      </c>
      <c r="H171" s="17">
        <f>F171*AO171</f>
        <v>0</v>
      </c>
      <c r="I171" s="17">
        <f>F171*AP171</f>
        <v>0</v>
      </c>
      <c r="J171" s="17">
        <f>F171*G171</f>
        <v>0</v>
      </c>
      <c r="K171" s="17">
        <v>1.0999999999999999E-2</v>
      </c>
      <c r="L171" s="17">
        <f>F171*K171</f>
        <v>0.13200000000000001</v>
      </c>
      <c r="M171" s="28"/>
      <c r="Z171" s="31">
        <f>IF(AQ171="5",BJ171,0)</f>
        <v>0</v>
      </c>
      <c r="AB171" s="31">
        <f>IF(AQ171="1",BH171,0)</f>
        <v>0</v>
      </c>
      <c r="AC171" s="31">
        <f>IF(AQ171="1",BI171,0)</f>
        <v>0</v>
      </c>
      <c r="AD171" s="31">
        <f>IF(AQ171="7",BH171,0)</f>
        <v>0</v>
      </c>
      <c r="AE171" s="31">
        <f>IF(AQ171="7",BI171,0)</f>
        <v>0</v>
      </c>
      <c r="AF171" s="31">
        <f>IF(AQ171="2",BH171,0)</f>
        <v>0</v>
      </c>
      <c r="AG171" s="31">
        <f>IF(AQ171="2",BI171,0)</f>
        <v>0</v>
      </c>
      <c r="AH171" s="31">
        <f>IF(AQ171="0",BJ171,0)</f>
        <v>0</v>
      </c>
      <c r="AI171" s="25"/>
      <c r="AJ171" s="17">
        <f>IF(AN171=0,J171,0)</f>
        <v>0</v>
      </c>
      <c r="AK171" s="17">
        <f>IF(AN171=15,J171,0)</f>
        <v>0</v>
      </c>
      <c r="AL171" s="17">
        <f>IF(AN171=21,J171,0)</f>
        <v>0</v>
      </c>
      <c r="AN171" s="31">
        <v>21</v>
      </c>
      <c r="AO171" s="31">
        <f>G171*0.938566552901024</f>
        <v>0</v>
      </c>
      <c r="AP171" s="31">
        <f>G171*(1-0.938566552901024)</f>
        <v>0</v>
      </c>
      <c r="AQ171" s="28" t="s">
        <v>12</v>
      </c>
      <c r="AV171" s="31">
        <f>AW171+AX171</f>
        <v>0</v>
      </c>
      <c r="AW171" s="31">
        <f>F171*AO171</f>
        <v>0</v>
      </c>
      <c r="AX171" s="31">
        <f>F171*AP171</f>
        <v>0</v>
      </c>
      <c r="AY171" s="32" t="s">
        <v>474</v>
      </c>
      <c r="AZ171" s="32" t="s">
        <v>479</v>
      </c>
      <c r="BA171" s="25" t="s">
        <v>482</v>
      </c>
      <c r="BC171" s="31">
        <f>AW171+AX171</f>
        <v>0</v>
      </c>
      <c r="BD171" s="31">
        <f>G171/(100-BE171)*100</f>
        <v>0</v>
      </c>
      <c r="BE171" s="31">
        <v>0</v>
      </c>
      <c r="BF171" s="31">
        <f>L171</f>
        <v>0.13200000000000001</v>
      </c>
      <c r="BH171" s="17">
        <f>F171*AO171</f>
        <v>0</v>
      </c>
      <c r="BI171" s="17">
        <f>F171*AP171</f>
        <v>0</v>
      </c>
      <c r="BJ171" s="17">
        <f>F171*G171</f>
        <v>0</v>
      </c>
    </row>
    <row r="172" spans="1:62">
      <c r="D172" s="14" t="s">
        <v>361</v>
      </c>
    </row>
    <row r="173" spans="1:62">
      <c r="D173" s="66" t="s">
        <v>362</v>
      </c>
      <c r="F173" s="18">
        <v>12</v>
      </c>
    </row>
    <row r="174" spans="1:62" ht="25.5">
      <c r="A174" s="4" t="s">
        <v>77</v>
      </c>
      <c r="B174" s="4"/>
      <c r="C174" s="4" t="s">
        <v>185</v>
      </c>
      <c r="D174" s="65" t="s">
        <v>363</v>
      </c>
      <c r="E174" s="4" t="s">
        <v>438</v>
      </c>
      <c r="F174" s="17">
        <v>12</v>
      </c>
      <c r="G174" s="17">
        <v>0</v>
      </c>
      <c r="H174" s="17">
        <f>F174*AO174</f>
        <v>0</v>
      </c>
      <c r="I174" s="17">
        <f>F174*AP174</f>
        <v>0</v>
      </c>
      <c r="J174" s="17">
        <f>F174*G174</f>
        <v>0</v>
      </c>
      <c r="K174" s="17">
        <v>4.4999999999999998E-2</v>
      </c>
      <c r="L174" s="17">
        <f>F174*K174</f>
        <v>0.54</v>
      </c>
      <c r="M174" s="28"/>
      <c r="Z174" s="31">
        <f>IF(AQ174="5",BJ174,0)</f>
        <v>0</v>
      </c>
      <c r="AB174" s="31">
        <f>IF(AQ174="1",BH174,0)</f>
        <v>0</v>
      </c>
      <c r="AC174" s="31">
        <f>IF(AQ174="1",BI174,0)</f>
        <v>0</v>
      </c>
      <c r="AD174" s="31">
        <f>IF(AQ174="7",BH174,0)</f>
        <v>0</v>
      </c>
      <c r="AE174" s="31">
        <f>IF(AQ174="7",BI174,0)</f>
        <v>0</v>
      </c>
      <c r="AF174" s="31">
        <f>IF(AQ174="2",BH174,0)</f>
        <v>0</v>
      </c>
      <c r="AG174" s="31">
        <f>IF(AQ174="2",BI174,0)</f>
        <v>0</v>
      </c>
      <c r="AH174" s="31">
        <f>IF(AQ174="0",BJ174,0)</f>
        <v>0</v>
      </c>
      <c r="AI174" s="25"/>
      <c r="AJ174" s="17">
        <f>IF(AN174=0,J174,0)</f>
        <v>0</v>
      </c>
      <c r="AK174" s="17">
        <f>IF(AN174=15,J174,0)</f>
        <v>0</v>
      </c>
      <c r="AL174" s="17">
        <f>IF(AN174=21,J174,0)</f>
        <v>0</v>
      </c>
      <c r="AN174" s="31">
        <v>21</v>
      </c>
      <c r="AO174" s="31">
        <f>G174*0.893617021276596</f>
        <v>0</v>
      </c>
      <c r="AP174" s="31">
        <f>G174*(1-0.893617021276596)</f>
        <v>0</v>
      </c>
      <c r="AQ174" s="28" t="s">
        <v>12</v>
      </c>
      <c r="AV174" s="31">
        <f>AW174+AX174</f>
        <v>0</v>
      </c>
      <c r="AW174" s="31">
        <f>F174*AO174</f>
        <v>0</v>
      </c>
      <c r="AX174" s="31">
        <f>F174*AP174</f>
        <v>0</v>
      </c>
      <c r="AY174" s="32" t="s">
        <v>474</v>
      </c>
      <c r="AZ174" s="32" t="s">
        <v>479</v>
      </c>
      <c r="BA174" s="25" t="s">
        <v>482</v>
      </c>
      <c r="BC174" s="31">
        <f>AW174+AX174</f>
        <v>0</v>
      </c>
      <c r="BD174" s="31">
        <f>G174/(100-BE174)*100</f>
        <v>0</v>
      </c>
      <c r="BE174" s="31">
        <v>0</v>
      </c>
      <c r="BF174" s="31">
        <f>L174</f>
        <v>0.54</v>
      </c>
      <c r="BH174" s="17">
        <f>F174*AO174</f>
        <v>0</v>
      </c>
      <c r="BI174" s="17">
        <f>F174*AP174</f>
        <v>0</v>
      </c>
      <c r="BJ174" s="17">
        <f>F174*G174</f>
        <v>0</v>
      </c>
    </row>
    <row r="175" spans="1:62">
      <c r="D175" s="14" t="s">
        <v>364</v>
      </c>
    </row>
    <row r="176" spans="1:62">
      <c r="D176" s="66" t="s">
        <v>362</v>
      </c>
      <c r="F176" s="18">
        <v>12</v>
      </c>
    </row>
    <row r="177" spans="1:62">
      <c r="A177" s="4" t="s">
        <v>78</v>
      </c>
      <c r="B177" s="4"/>
      <c r="C177" s="4" t="s">
        <v>186</v>
      </c>
      <c r="D177" s="65" t="s">
        <v>365</v>
      </c>
      <c r="E177" s="4" t="s">
        <v>438</v>
      </c>
      <c r="F177" s="17">
        <v>15</v>
      </c>
      <c r="G177" s="17">
        <v>0</v>
      </c>
      <c r="H177" s="17">
        <f>F177*AO177</f>
        <v>0</v>
      </c>
      <c r="I177" s="17">
        <f>F177*AP177</f>
        <v>0</v>
      </c>
      <c r="J177" s="17">
        <f>F177*G177</f>
        <v>0</v>
      </c>
      <c r="K177" s="17">
        <v>0.11</v>
      </c>
      <c r="L177" s="17">
        <f>F177*K177</f>
        <v>1.65</v>
      </c>
      <c r="M177" s="28"/>
      <c r="Z177" s="31">
        <f>IF(AQ177="5",BJ177,0)</f>
        <v>0</v>
      </c>
      <c r="AB177" s="31">
        <f>IF(AQ177="1",BH177,0)</f>
        <v>0</v>
      </c>
      <c r="AC177" s="31">
        <f>IF(AQ177="1",BI177,0)</f>
        <v>0</v>
      </c>
      <c r="AD177" s="31">
        <f>IF(AQ177="7",BH177,0)</f>
        <v>0</v>
      </c>
      <c r="AE177" s="31">
        <f>IF(AQ177="7",BI177,0)</f>
        <v>0</v>
      </c>
      <c r="AF177" s="31">
        <f>IF(AQ177="2",BH177,0)</f>
        <v>0</v>
      </c>
      <c r="AG177" s="31">
        <f>IF(AQ177="2",BI177,0)</f>
        <v>0</v>
      </c>
      <c r="AH177" s="31">
        <f>IF(AQ177="0",BJ177,0)</f>
        <v>0</v>
      </c>
      <c r="AI177" s="25"/>
      <c r="AJ177" s="17">
        <f>IF(AN177=0,J177,0)</f>
        <v>0</v>
      </c>
      <c r="AK177" s="17">
        <f>IF(AN177=15,J177,0)</f>
        <v>0</v>
      </c>
      <c r="AL177" s="17">
        <f>IF(AN177=21,J177,0)</f>
        <v>0</v>
      </c>
      <c r="AN177" s="31">
        <v>21</v>
      </c>
      <c r="AO177" s="31">
        <f>G177*0.852941176470588</f>
        <v>0</v>
      </c>
      <c r="AP177" s="31">
        <f>G177*(1-0.852941176470588)</f>
        <v>0</v>
      </c>
      <c r="AQ177" s="28" t="s">
        <v>12</v>
      </c>
      <c r="AV177" s="31">
        <f>AW177+AX177</f>
        <v>0</v>
      </c>
      <c r="AW177" s="31">
        <f>F177*AO177</f>
        <v>0</v>
      </c>
      <c r="AX177" s="31">
        <f>F177*AP177</f>
        <v>0</v>
      </c>
      <c r="AY177" s="32" t="s">
        <v>474</v>
      </c>
      <c r="AZ177" s="32" t="s">
        <v>479</v>
      </c>
      <c r="BA177" s="25" t="s">
        <v>482</v>
      </c>
      <c r="BC177" s="31">
        <f>AW177+AX177</f>
        <v>0</v>
      </c>
      <c r="BD177" s="31">
        <f>G177/(100-BE177)*100</f>
        <v>0</v>
      </c>
      <c r="BE177" s="31">
        <v>0</v>
      </c>
      <c r="BF177" s="31">
        <f>L177</f>
        <v>1.65</v>
      </c>
      <c r="BH177" s="17">
        <f>F177*AO177</f>
        <v>0</v>
      </c>
      <c r="BI177" s="17">
        <f>F177*AP177</f>
        <v>0</v>
      </c>
      <c r="BJ177" s="17">
        <f>F177*G177</f>
        <v>0</v>
      </c>
    </row>
    <row r="178" spans="1:62">
      <c r="D178" s="66" t="s">
        <v>366</v>
      </c>
      <c r="F178" s="18">
        <v>15</v>
      </c>
    </row>
    <row r="179" spans="1:62" ht="25.5">
      <c r="A179" s="4" t="s">
        <v>79</v>
      </c>
      <c r="B179" s="4"/>
      <c r="C179" s="4" t="s">
        <v>187</v>
      </c>
      <c r="D179" s="65" t="s">
        <v>367</v>
      </c>
      <c r="E179" s="4" t="s">
        <v>438</v>
      </c>
      <c r="F179" s="17">
        <v>9</v>
      </c>
      <c r="G179" s="17">
        <v>0</v>
      </c>
      <c r="H179" s="17">
        <f>F179*AO179</f>
        <v>0</v>
      </c>
      <c r="I179" s="17">
        <f>F179*AP179</f>
        <v>0</v>
      </c>
      <c r="J179" s="17">
        <f>F179*G179</f>
        <v>0</v>
      </c>
      <c r="K179" s="17">
        <v>3.5000000000000003E-2</v>
      </c>
      <c r="L179" s="17">
        <f>F179*K179</f>
        <v>0.31500000000000006</v>
      </c>
      <c r="M179" s="28"/>
      <c r="Z179" s="31">
        <f>IF(AQ179="5",BJ179,0)</f>
        <v>0</v>
      </c>
      <c r="AB179" s="31">
        <f>IF(AQ179="1",BH179,0)</f>
        <v>0</v>
      </c>
      <c r="AC179" s="31">
        <f>IF(AQ179="1",BI179,0)</f>
        <v>0</v>
      </c>
      <c r="AD179" s="31">
        <f>IF(AQ179="7",BH179,0)</f>
        <v>0</v>
      </c>
      <c r="AE179" s="31">
        <f>IF(AQ179="7",BI179,0)</f>
        <v>0</v>
      </c>
      <c r="AF179" s="31">
        <f>IF(AQ179="2",BH179,0)</f>
        <v>0</v>
      </c>
      <c r="AG179" s="31">
        <f>IF(AQ179="2",BI179,0)</f>
        <v>0</v>
      </c>
      <c r="AH179" s="31">
        <f>IF(AQ179="0",BJ179,0)</f>
        <v>0</v>
      </c>
      <c r="AI179" s="25"/>
      <c r="AJ179" s="17">
        <f>IF(AN179=0,J179,0)</f>
        <v>0</v>
      </c>
      <c r="AK179" s="17">
        <f>IF(AN179=15,J179,0)</f>
        <v>0</v>
      </c>
      <c r="AL179" s="17">
        <f>IF(AN179=21,J179,0)</f>
        <v>0</v>
      </c>
      <c r="AN179" s="31">
        <v>21</v>
      </c>
      <c r="AO179" s="31">
        <f>G179*0.754433833560709</f>
        <v>0</v>
      </c>
      <c r="AP179" s="31">
        <f>G179*(1-0.754433833560709)</f>
        <v>0</v>
      </c>
      <c r="AQ179" s="28" t="s">
        <v>12</v>
      </c>
      <c r="AV179" s="31">
        <f>AW179+AX179</f>
        <v>0</v>
      </c>
      <c r="AW179" s="31">
        <f>F179*AO179</f>
        <v>0</v>
      </c>
      <c r="AX179" s="31">
        <f>F179*AP179</f>
        <v>0</v>
      </c>
      <c r="AY179" s="32" t="s">
        <v>474</v>
      </c>
      <c r="AZ179" s="32" t="s">
        <v>479</v>
      </c>
      <c r="BA179" s="25" t="s">
        <v>482</v>
      </c>
      <c r="BC179" s="31">
        <f>AW179+AX179</f>
        <v>0</v>
      </c>
      <c r="BD179" s="31">
        <f>G179/(100-BE179)*100</f>
        <v>0</v>
      </c>
      <c r="BE179" s="31">
        <v>0</v>
      </c>
      <c r="BF179" s="31">
        <f>L179</f>
        <v>0.31500000000000006</v>
      </c>
      <c r="BH179" s="17">
        <f>F179*AO179</f>
        <v>0</v>
      </c>
      <c r="BI179" s="17">
        <f>F179*AP179</f>
        <v>0</v>
      </c>
      <c r="BJ179" s="17">
        <f>F179*G179</f>
        <v>0</v>
      </c>
    </row>
    <row r="180" spans="1:62">
      <c r="D180" s="66" t="s">
        <v>368</v>
      </c>
      <c r="F180" s="18">
        <v>9</v>
      </c>
    </row>
    <row r="181" spans="1:62" ht="25.5">
      <c r="A181" s="4" t="s">
        <v>80</v>
      </c>
      <c r="B181" s="4"/>
      <c r="C181" s="4" t="s">
        <v>188</v>
      </c>
      <c r="D181" s="65" t="s">
        <v>369</v>
      </c>
      <c r="E181" s="4" t="s">
        <v>438</v>
      </c>
      <c r="F181" s="17">
        <v>9</v>
      </c>
      <c r="G181" s="17">
        <v>0</v>
      </c>
      <c r="H181" s="17">
        <f>F181*AO181</f>
        <v>0</v>
      </c>
      <c r="I181" s="17">
        <f>F181*AP181</f>
        <v>0</v>
      </c>
      <c r="J181" s="17">
        <f>F181*G181</f>
        <v>0</v>
      </c>
      <c r="K181" s="17">
        <v>0.18</v>
      </c>
      <c r="L181" s="17">
        <f>F181*K181</f>
        <v>1.6199999999999999</v>
      </c>
      <c r="M181" s="28"/>
      <c r="Z181" s="31">
        <f>IF(AQ181="5",BJ181,0)</f>
        <v>0</v>
      </c>
      <c r="AB181" s="31">
        <f>IF(AQ181="1",BH181,0)</f>
        <v>0</v>
      </c>
      <c r="AC181" s="31">
        <f>IF(AQ181="1",BI181,0)</f>
        <v>0</v>
      </c>
      <c r="AD181" s="31">
        <f>IF(AQ181="7",BH181,0)</f>
        <v>0</v>
      </c>
      <c r="AE181" s="31">
        <f>IF(AQ181="7",BI181,0)</f>
        <v>0</v>
      </c>
      <c r="AF181" s="31">
        <f>IF(AQ181="2",BH181,0)</f>
        <v>0</v>
      </c>
      <c r="AG181" s="31">
        <f>IF(AQ181="2",BI181,0)</f>
        <v>0</v>
      </c>
      <c r="AH181" s="31">
        <f>IF(AQ181="0",BJ181,0)</f>
        <v>0</v>
      </c>
      <c r="AI181" s="25"/>
      <c r="AJ181" s="17">
        <f>IF(AN181=0,J181,0)</f>
        <v>0</v>
      </c>
      <c r="AK181" s="17">
        <f>IF(AN181=15,J181,0)</f>
        <v>0</v>
      </c>
      <c r="AL181" s="17">
        <f>IF(AN181=21,J181,0)</f>
        <v>0</v>
      </c>
      <c r="AN181" s="31">
        <v>21</v>
      </c>
      <c r="AO181" s="31">
        <f>G181*0.821917808219178</f>
        <v>0</v>
      </c>
      <c r="AP181" s="31">
        <f>G181*(1-0.821917808219178)</f>
        <v>0</v>
      </c>
      <c r="AQ181" s="28" t="s">
        <v>12</v>
      </c>
      <c r="AV181" s="31">
        <f>AW181+AX181</f>
        <v>0</v>
      </c>
      <c r="AW181" s="31">
        <f>F181*AO181</f>
        <v>0</v>
      </c>
      <c r="AX181" s="31">
        <f>F181*AP181</f>
        <v>0</v>
      </c>
      <c r="AY181" s="32" t="s">
        <v>474</v>
      </c>
      <c r="AZ181" s="32" t="s">
        <v>479</v>
      </c>
      <c r="BA181" s="25" t="s">
        <v>482</v>
      </c>
      <c r="BC181" s="31">
        <f>AW181+AX181</f>
        <v>0</v>
      </c>
      <c r="BD181" s="31">
        <f>G181/(100-BE181)*100</f>
        <v>0</v>
      </c>
      <c r="BE181" s="31">
        <v>0</v>
      </c>
      <c r="BF181" s="31">
        <f>L181</f>
        <v>1.6199999999999999</v>
      </c>
      <c r="BH181" s="17">
        <f>F181*AO181</f>
        <v>0</v>
      </c>
      <c r="BI181" s="17">
        <f>F181*AP181</f>
        <v>0</v>
      </c>
      <c r="BJ181" s="17">
        <f>F181*G181</f>
        <v>0</v>
      </c>
    </row>
    <row r="182" spans="1:62">
      <c r="D182" s="66" t="s">
        <v>370</v>
      </c>
      <c r="F182" s="18">
        <v>9</v>
      </c>
    </row>
    <row r="183" spans="1:62" ht="25.5">
      <c r="A183" s="4" t="s">
        <v>81</v>
      </c>
      <c r="B183" s="4"/>
      <c r="C183" s="4" t="s">
        <v>189</v>
      </c>
      <c r="D183" s="65" t="s">
        <v>371</v>
      </c>
      <c r="E183" s="4" t="s">
        <v>438</v>
      </c>
      <c r="F183" s="17">
        <v>6</v>
      </c>
      <c r="G183" s="17">
        <v>0</v>
      </c>
      <c r="H183" s="17">
        <f>F183*AO183</f>
        <v>0</v>
      </c>
      <c r="I183" s="17">
        <f>F183*AP183</f>
        <v>0</v>
      </c>
      <c r="J183" s="17">
        <f>F183*G183</f>
        <v>0</v>
      </c>
      <c r="K183" s="17">
        <v>3.5000000000000003E-2</v>
      </c>
      <c r="L183" s="17">
        <f>F183*K183</f>
        <v>0.21000000000000002</v>
      </c>
      <c r="M183" s="28"/>
      <c r="Z183" s="31">
        <f>IF(AQ183="5",BJ183,0)</f>
        <v>0</v>
      </c>
      <c r="AB183" s="31">
        <f>IF(AQ183="1",BH183,0)</f>
        <v>0</v>
      </c>
      <c r="AC183" s="31">
        <f>IF(AQ183="1",BI183,0)</f>
        <v>0</v>
      </c>
      <c r="AD183" s="31">
        <f>IF(AQ183="7",BH183,0)</f>
        <v>0</v>
      </c>
      <c r="AE183" s="31">
        <f>IF(AQ183="7",BI183,0)</f>
        <v>0</v>
      </c>
      <c r="AF183" s="31">
        <f>IF(AQ183="2",BH183,0)</f>
        <v>0</v>
      </c>
      <c r="AG183" s="31">
        <f>IF(AQ183="2",BI183,0)</f>
        <v>0</v>
      </c>
      <c r="AH183" s="31">
        <f>IF(AQ183="0",BJ183,0)</f>
        <v>0</v>
      </c>
      <c r="AI183" s="25"/>
      <c r="AJ183" s="17">
        <f>IF(AN183=0,J183,0)</f>
        <v>0</v>
      </c>
      <c r="AK183" s="17">
        <f>IF(AN183=15,J183,0)</f>
        <v>0</v>
      </c>
      <c r="AL183" s="17">
        <f>IF(AN183=21,J183,0)</f>
        <v>0</v>
      </c>
      <c r="AN183" s="31">
        <v>21</v>
      </c>
      <c r="AO183" s="31">
        <f>G183*0.754433833560709</f>
        <v>0</v>
      </c>
      <c r="AP183" s="31">
        <f>G183*(1-0.754433833560709)</f>
        <v>0</v>
      </c>
      <c r="AQ183" s="28" t="s">
        <v>12</v>
      </c>
      <c r="AV183" s="31">
        <f>AW183+AX183</f>
        <v>0</v>
      </c>
      <c r="AW183" s="31">
        <f>F183*AO183</f>
        <v>0</v>
      </c>
      <c r="AX183" s="31">
        <f>F183*AP183</f>
        <v>0</v>
      </c>
      <c r="AY183" s="32" t="s">
        <v>474</v>
      </c>
      <c r="AZ183" s="32" t="s">
        <v>479</v>
      </c>
      <c r="BA183" s="25" t="s">
        <v>482</v>
      </c>
      <c r="BC183" s="31">
        <f>AW183+AX183</f>
        <v>0</v>
      </c>
      <c r="BD183" s="31">
        <f>G183/(100-BE183)*100</f>
        <v>0</v>
      </c>
      <c r="BE183" s="31">
        <v>0</v>
      </c>
      <c r="BF183" s="31">
        <f>L183</f>
        <v>0.21000000000000002</v>
      </c>
      <c r="BH183" s="17">
        <f>F183*AO183</f>
        <v>0</v>
      </c>
      <c r="BI183" s="17">
        <f>F183*AP183</f>
        <v>0</v>
      </c>
      <c r="BJ183" s="17">
        <f>F183*G183</f>
        <v>0</v>
      </c>
    </row>
    <row r="184" spans="1:62">
      <c r="D184" s="66" t="s">
        <v>372</v>
      </c>
      <c r="F184" s="18">
        <v>6</v>
      </c>
    </row>
    <row r="185" spans="1:62">
      <c r="A185" s="4" t="s">
        <v>82</v>
      </c>
      <c r="B185" s="4"/>
      <c r="C185" s="4" t="s">
        <v>190</v>
      </c>
      <c r="D185" s="65" t="s">
        <v>373</v>
      </c>
      <c r="E185" s="4" t="s">
        <v>438</v>
      </c>
      <c r="F185" s="17">
        <v>7</v>
      </c>
      <c r="G185" s="17">
        <v>0</v>
      </c>
      <c r="H185" s="17">
        <f>F185*AO185</f>
        <v>0</v>
      </c>
      <c r="I185" s="17">
        <f>F185*AP185</f>
        <v>0</v>
      </c>
      <c r="J185" s="17">
        <f>F185*G185</f>
        <v>0</v>
      </c>
      <c r="K185" s="17">
        <v>0.18</v>
      </c>
      <c r="L185" s="17">
        <f>F185*K185</f>
        <v>1.26</v>
      </c>
      <c r="M185" s="28"/>
      <c r="Z185" s="31">
        <f>IF(AQ185="5",BJ185,0)</f>
        <v>0</v>
      </c>
      <c r="AB185" s="31">
        <f>IF(AQ185="1",BH185,0)</f>
        <v>0</v>
      </c>
      <c r="AC185" s="31">
        <f>IF(AQ185="1",BI185,0)</f>
        <v>0</v>
      </c>
      <c r="AD185" s="31">
        <f>IF(AQ185="7",BH185,0)</f>
        <v>0</v>
      </c>
      <c r="AE185" s="31">
        <f>IF(AQ185="7",BI185,0)</f>
        <v>0</v>
      </c>
      <c r="AF185" s="31">
        <f>IF(AQ185="2",BH185,0)</f>
        <v>0</v>
      </c>
      <c r="AG185" s="31">
        <f>IF(AQ185="2",BI185,0)</f>
        <v>0</v>
      </c>
      <c r="AH185" s="31">
        <f>IF(AQ185="0",BJ185,0)</f>
        <v>0</v>
      </c>
      <c r="AI185" s="25"/>
      <c r="AJ185" s="17">
        <f>IF(AN185=0,J185,0)</f>
        <v>0</v>
      </c>
      <c r="AK185" s="17">
        <f>IF(AN185=15,J185,0)</f>
        <v>0</v>
      </c>
      <c r="AL185" s="17">
        <f>IF(AN185=21,J185,0)</f>
        <v>0</v>
      </c>
      <c r="AN185" s="31">
        <v>21</v>
      </c>
      <c r="AO185" s="31">
        <f>G185*0.843373493975904</f>
        <v>0</v>
      </c>
      <c r="AP185" s="31">
        <f>G185*(1-0.843373493975904)</f>
        <v>0</v>
      </c>
      <c r="AQ185" s="28" t="s">
        <v>12</v>
      </c>
      <c r="AV185" s="31">
        <f>AW185+AX185</f>
        <v>0</v>
      </c>
      <c r="AW185" s="31">
        <f>F185*AO185</f>
        <v>0</v>
      </c>
      <c r="AX185" s="31">
        <f>F185*AP185</f>
        <v>0</v>
      </c>
      <c r="AY185" s="32" t="s">
        <v>474</v>
      </c>
      <c r="AZ185" s="32" t="s">
        <v>479</v>
      </c>
      <c r="BA185" s="25" t="s">
        <v>482</v>
      </c>
      <c r="BC185" s="31">
        <f>AW185+AX185</f>
        <v>0</v>
      </c>
      <c r="BD185" s="31">
        <f>G185/(100-BE185)*100</f>
        <v>0</v>
      </c>
      <c r="BE185" s="31">
        <v>0</v>
      </c>
      <c r="BF185" s="31">
        <f>L185</f>
        <v>1.26</v>
      </c>
      <c r="BH185" s="17">
        <f>F185*AO185</f>
        <v>0</v>
      </c>
      <c r="BI185" s="17">
        <f>F185*AP185</f>
        <v>0</v>
      </c>
      <c r="BJ185" s="17">
        <f>F185*G185</f>
        <v>0</v>
      </c>
    </row>
    <row r="186" spans="1:62" ht="51">
      <c r="D186" s="14" t="s">
        <v>374</v>
      </c>
    </row>
    <row r="187" spans="1:62">
      <c r="D187" s="66" t="s">
        <v>375</v>
      </c>
      <c r="F187" s="18">
        <v>7</v>
      </c>
    </row>
    <row r="188" spans="1:62" ht="25.5">
      <c r="A188" s="4" t="s">
        <v>83</v>
      </c>
      <c r="B188" s="4"/>
      <c r="C188" s="4" t="s">
        <v>191</v>
      </c>
      <c r="D188" s="65" t="s">
        <v>376</v>
      </c>
      <c r="E188" s="4" t="s">
        <v>438</v>
      </c>
      <c r="F188" s="17">
        <v>8</v>
      </c>
      <c r="G188" s="17">
        <v>0</v>
      </c>
      <c r="H188" s="17">
        <f>F188*AO188</f>
        <v>0</v>
      </c>
      <c r="I188" s="17">
        <f>F188*AP188</f>
        <v>0</v>
      </c>
      <c r="J188" s="17">
        <f>F188*G188</f>
        <v>0</v>
      </c>
      <c r="K188" s="17">
        <v>0.25</v>
      </c>
      <c r="L188" s="17">
        <f>F188*K188</f>
        <v>2</v>
      </c>
      <c r="M188" s="28"/>
      <c r="Z188" s="31">
        <f>IF(AQ188="5",BJ188,0)</f>
        <v>0</v>
      </c>
      <c r="AB188" s="31">
        <f>IF(AQ188="1",BH188,0)</f>
        <v>0</v>
      </c>
      <c r="AC188" s="31">
        <f>IF(AQ188="1",BI188,0)</f>
        <v>0</v>
      </c>
      <c r="AD188" s="31">
        <f>IF(AQ188="7",BH188,0)</f>
        <v>0</v>
      </c>
      <c r="AE188" s="31">
        <f>IF(AQ188="7",BI188,0)</f>
        <v>0</v>
      </c>
      <c r="AF188" s="31">
        <f>IF(AQ188="2",BH188,0)</f>
        <v>0</v>
      </c>
      <c r="AG188" s="31">
        <f>IF(AQ188="2",BI188,0)</f>
        <v>0</v>
      </c>
      <c r="AH188" s="31">
        <f>IF(AQ188="0",BJ188,0)</f>
        <v>0</v>
      </c>
      <c r="AI188" s="25"/>
      <c r="AJ188" s="17">
        <f>IF(AN188=0,J188,0)</f>
        <v>0</v>
      </c>
      <c r="AK188" s="17">
        <f>IF(AN188=15,J188,0)</f>
        <v>0</v>
      </c>
      <c r="AL188" s="17">
        <f>IF(AN188=21,J188,0)</f>
        <v>0</v>
      </c>
      <c r="AN188" s="31">
        <v>21</v>
      </c>
      <c r="AO188" s="31">
        <f>G188*0.971428571428571</f>
        <v>0</v>
      </c>
      <c r="AP188" s="31">
        <f>G188*(1-0.971428571428571)</f>
        <v>0</v>
      </c>
      <c r="AQ188" s="28" t="s">
        <v>12</v>
      </c>
      <c r="AV188" s="31">
        <f>AW188+AX188</f>
        <v>0</v>
      </c>
      <c r="AW188" s="31">
        <f>F188*AO188</f>
        <v>0</v>
      </c>
      <c r="AX188" s="31">
        <f>F188*AP188</f>
        <v>0</v>
      </c>
      <c r="AY188" s="32" t="s">
        <v>474</v>
      </c>
      <c r="AZ188" s="32" t="s">
        <v>479</v>
      </c>
      <c r="BA188" s="25" t="s">
        <v>482</v>
      </c>
      <c r="BC188" s="31">
        <f>AW188+AX188</f>
        <v>0</v>
      </c>
      <c r="BD188" s="31">
        <f>G188/(100-BE188)*100</f>
        <v>0</v>
      </c>
      <c r="BE188" s="31">
        <v>0</v>
      </c>
      <c r="BF188" s="31">
        <f>L188</f>
        <v>2</v>
      </c>
      <c r="BH188" s="17">
        <f>F188*AO188</f>
        <v>0</v>
      </c>
      <c r="BI188" s="17">
        <f>F188*AP188</f>
        <v>0</v>
      </c>
      <c r="BJ188" s="17">
        <f>F188*G188</f>
        <v>0</v>
      </c>
    </row>
    <row r="189" spans="1:62" ht="25.5">
      <c r="D189" s="14" t="s">
        <v>377</v>
      </c>
    </row>
    <row r="190" spans="1:62">
      <c r="D190" s="66" t="s">
        <v>378</v>
      </c>
      <c r="F190" s="18">
        <v>8</v>
      </c>
    </row>
    <row r="191" spans="1:62">
      <c r="A191" s="4" t="s">
        <v>84</v>
      </c>
      <c r="B191" s="4"/>
      <c r="C191" s="4" t="s">
        <v>192</v>
      </c>
      <c r="D191" s="65" t="s">
        <v>379</v>
      </c>
      <c r="E191" s="4" t="s">
        <v>441</v>
      </c>
      <c r="F191" s="17">
        <v>3</v>
      </c>
      <c r="G191" s="17">
        <v>0</v>
      </c>
      <c r="H191" s="17">
        <f>F191*AO191</f>
        <v>0</v>
      </c>
      <c r="I191" s="17">
        <f>F191*AP191</f>
        <v>0</v>
      </c>
      <c r="J191" s="17">
        <f>F191*G191</f>
        <v>0</v>
      </c>
      <c r="K191" s="17">
        <v>3.4700000000000002E-2</v>
      </c>
      <c r="L191" s="17">
        <f>F191*K191</f>
        <v>0.1041</v>
      </c>
      <c r="M191" s="28" t="s">
        <v>462</v>
      </c>
      <c r="Z191" s="31">
        <f>IF(AQ191="5",BJ191,0)</f>
        <v>0</v>
      </c>
      <c r="AB191" s="31">
        <f>IF(AQ191="1",BH191,0)</f>
        <v>0</v>
      </c>
      <c r="AC191" s="31">
        <f>IF(AQ191="1",BI191,0)</f>
        <v>0</v>
      </c>
      <c r="AD191" s="31">
        <f>IF(AQ191="7",BH191,0)</f>
        <v>0</v>
      </c>
      <c r="AE191" s="31">
        <f>IF(AQ191="7",BI191,0)</f>
        <v>0</v>
      </c>
      <c r="AF191" s="31">
        <f>IF(AQ191="2",BH191,0)</f>
        <v>0</v>
      </c>
      <c r="AG191" s="31">
        <f>IF(AQ191="2",BI191,0)</f>
        <v>0</v>
      </c>
      <c r="AH191" s="31">
        <f>IF(AQ191="0",BJ191,0)</f>
        <v>0</v>
      </c>
      <c r="AI191" s="25"/>
      <c r="AJ191" s="17">
        <f>IF(AN191=0,J191,0)</f>
        <v>0</v>
      </c>
      <c r="AK191" s="17">
        <f>IF(AN191=15,J191,0)</f>
        <v>0</v>
      </c>
      <c r="AL191" s="17">
        <f>IF(AN191=21,J191,0)</f>
        <v>0</v>
      </c>
      <c r="AN191" s="31">
        <v>21</v>
      </c>
      <c r="AO191" s="31">
        <f>G191*0</f>
        <v>0</v>
      </c>
      <c r="AP191" s="31">
        <f>G191*(1-0)</f>
        <v>0</v>
      </c>
      <c r="AQ191" s="28" t="s">
        <v>12</v>
      </c>
      <c r="AV191" s="31">
        <f>AW191+AX191</f>
        <v>0</v>
      </c>
      <c r="AW191" s="31">
        <f>F191*AO191</f>
        <v>0</v>
      </c>
      <c r="AX191" s="31">
        <f>F191*AP191</f>
        <v>0</v>
      </c>
      <c r="AY191" s="32" t="s">
        <v>474</v>
      </c>
      <c r="AZ191" s="32" t="s">
        <v>479</v>
      </c>
      <c r="BA191" s="25" t="s">
        <v>482</v>
      </c>
      <c r="BC191" s="31">
        <f>AW191+AX191</f>
        <v>0</v>
      </c>
      <c r="BD191" s="31">
        <f>G191/(100-BE191)*100</f>
        <v>0</v>
      </c>
      <c r="BE191" s="31">
        <v>0</v>
      </c>
      <c r="BF191" s="31">
        <f>L191</f>
        <v>0.1041</v>
      </c>
      <c r="BH191" s="17">
        <f>F191*AO191</f>
        <v>0</v>
      </c>
      <c r="BI191" s="17">
        <f>F191*AP191</f>
        <v>0</v>
      </c>
      <c r="BJ191" s="17">
        <f>F191*G191</f>
        <v>0</v>
      </c>
    </row>
    <row r="192" spans="1:62">
      <c r="D192" s="66" t="s">
        <v>227</v>
      </c>
      <c r="F192" s="18">
        <v>3</v>
      </c>
    </row>
    <row r="193" spans="1:62">
      <c r="A193" s="4" t="s">
        <v>85</v>
      </c>
      <c r="B193" s="4"/>
      <c r="C193" s="4" t="s">
        <v>193</v>
      </c>
      <c r="D193" s="65" t="s">
        <v>380</v>
      </c>
      <c r="E193" s="4" t="s">
        <v>436</v>
      </c>
      <c r="F193" s="17">
        <v>3</v>
      </c>
      <c r="G193" s="17">
        <v>0</v>
      </c>
      <c r="H193" s="17">
        <f>F193*AO193</f>
        <v>0</v>
      </c>
      <c r="I193" s="17">
        <f>F193*AP193</f>
        <v>0</v>
      </c>
      <c r="J193" s="17">
        <f>F193*G193</f>
        <v>0</v>
      </c>
      <c r="K193" s="17">
        <v>3.0000000000000001E-5</v>
      </c>
      <c r="L193" s="17">
        <f>F193*K193</f>
        <v>9.0000000000000006E-5</v>
      </c>
      <c r="M193" s="28" t="s">
        <v>462</v>
      </c>
      <c r="Z193" s="31">
        <f>IF(AQ193="5",BJ193,0)</f>
        <v>0</v>
      </c>
      <c r="AB193" s="31">
        <f>IF(AQ193="1",BH193,0)</f>
        <v>0</v>
      </c>
      <c r="AC193" s="31">
        <f>IF(AQ193="1",BI193,0)</f>
        <v>0</v>
      </c>
      <c r="AD193" s="31">
        <f>IF(AQ193="7",BH193,0)</f>
        <v>0</v>
      </c>
      <c r="AE193" s="31">
        <f>IF(AQ193="7",BI193,0)</f>
        <v>0</v>
      </c>
      <c r="AF193" s="31">
        <f>IF(AQ193="2",BH193,0)</f>
        <v>0</v>
      </c>
      <c r="AG193" s="31">
        <f>IF(AQ193="2",BI193,0)</f>
        <v>0</v>
      </c>
      <c r="AH193" s="31">
        <f>IF(AQ193="0",BJ193,0)</f>
        <v>0</v>
      </c>
      <c r="AI193" s="25"/>
      <c r="AJ193" s="17">
        <f>IF(AN193=0,J193,0)</f>
        <v>0</v>
      </c>
      <c r="AK193" s="17">
        <f>IF(AN193=15,J193,0)</f>
        <v>0</v>
      </c>
      <c r="AL193" s="17">
        <f>IF(AN193=21,J193,0)</f>
        <v>0</v>
      </c>
      <c r="AN193" s="31">
        <v>21</v>
      </c>
      <c r="AO193" s="31">
        <f>G193*0.0182359679266896</f>
        <v>0</v>
      </c>
      <c r="AP193" s="31">
        <f>G193*(1-0.0182359679266896)</f>
        <v>0</v>
      </c>
      <c r="AQ193" s="28" t="s">
        <v>12</v>
      </c>
      <c r="AV193" s="31">
        <f>AW193+AX193</f>
        <v>0</v>
      </c>
      <c r="AW193" s="31">
        <f>F193*AO193</f>
        <v>0</v>
      </c>
      <c r="AX193" s="31">
        <f>F193*AP193</f>
        <v>0</v>
      </c>
      <c r="AY193" s="32" t="s">
        <v>474</v>
      </c>
      <c r="AZ193" s="32" t="s">
        <v>479</v>
      </c>
      <c r="BA193" s="25" t="s">
        <v>482</v>
      </c>
      <c r="BC193" s="31">
        <f>AW193+AX193</f>
        <v>0</v>
      </c>
      <c r="BD193" s="31">
        <f>G193/(100-BE193)*100</f>
        <v>0</v>
      </c>
      <c r="BE193" s="31">
        <v>0</v>
      </c>
      <c r="BF193" s="31">
        <f>L193</f>
        <v>9.0000000000000006E-5</v>
      </c>
      <c r="BH193" s="17">
        <f>F193*AO193</f>
        <v>0</v>
      </c>
      <c r="BI193" s="17">
        <f>F193*AP193</f>
        <v>0</v>
      </c>
      <c r="BJ193" s="17">
        <f>F193*G193</f>
        <v>0</v>
      </c>
    </row>
    <row r="194" spans="1:62">
      <c r="D194" s="66" t="s">
        <v>381</v>
      </c>
      <c r="F194" s="18">
        <v>3</v>
      </c>
    </row>
    <row r="195" spans="1:62">
      <c r="A195" s="4" t="s">
        <v>86</v>
      </c>
      <c r="B195" s="4"/>
      <c r="C195" s="4" t="s">
        <v>194</v>
      </c>
      <c r="D195" s="65" t="s">
        <v>382</v>
      </c>
      <c r="E195" s="4" t="s">
        <v>438</v>
      </c>
      <c r="F195" s="17">
        <v>1</v>
      </c>
      <c r="G195" s="17">
        <v>0</v>
      </c>
      <c r="H195" s="17">
        <f>F195*AO195</f>
        <v>0</v>
      </c>
      <c r="I195" s="17">
        <f>F195*AP195</f>
        <v>0</v>
      </c>
      <c r="J195" s="17">
        <f>F195*G195</f>
        <v>0</v>
      </c>
      <c r="K195" s="17">
        <v>2.5000000000000001E-2</v>
      </c>
      <c r="L195" s="17">
        <f>F195*K195</f>
        <v>2.5000000000000001E-2</v>
      </c>
      <c r="M195" s="28"/>
      <c r="Z195" s="31">
        <f>IF(AQ195="5",BJ195,0)</f>
        <v>0</v>
      </c>
      <c r="AB195" s="31">
        <f>IF(AQ195="1",BH195,0)</f>
        <v>0</v>
      </c>
      <c r="AC195" s="31">
        <f>IF(AQ195="1",BI195,0)</f>
        <v>0</v>
      </c>
      <c r="AD195" s="31">
        <f>IF(AQ195="7",BH195,0)</f>
        <v>0</v>
      </c>
      <c r="AE195" s="31">
        <f>IF(AQ195="7",BI195,0)</f>
        <v>0</v>
      </c>
      <c r="AF195" s="31">
        <f>IF(AQ195="2",BH195,0)</f>
        <v>0</v>
      </c>
      <c r="AG195" s="31">
        <f>IF(AQ195="2",BI195,0)</f>
        <v>0</v>
      </c>
      <c r="AH195" s="31">
        <f>IF(AQ195="0",BJ195,0)</f>
        <v>0</v>
      </c>
      <c r="AI195" s="25"/>
      <c r="AJ195" s="17">
        <f>IF(AN195=0,J195,0)</f>
        <v>0</v>
      </c>
      <c r="AK195" s="17">
        <f>IF(AN195=15,J195,0)</f>
        <v>0</v>
      </c>
      <c r="AL195" s="17">
        <f>IF(AN195=21,J195,0)</f>
        <v>0</v>
      </c>
      <c r="AN195" s="31">
        <v>21</v>
      </c>
      <c r="AO195" s="31">
        <f>G195*0</f>
        <v>0</v>
      </c>
      <c r="AP195" s="31">
        <f>G195*(1-0)</f>
        <v>0</v>
      </c>
      <c r="AQ195" s="28" t="s">
        <v>12</v>
      </c>
      <c r="AV195" s="31">
        <f>AW195+AX195</f>
        <v>0</v>
      </c>
      <c r="AW195" s="31">
        <f>F195*AO195</f>
        <v>0</v>
      </c>
      <c r="AX195" s="31">
        <f>F195*AP195</f>
        <v>0</v>
      </c>
      <c r="AY195" s="32" t="s">
        <v>474</v>
      </c>
      <c r="AZ195" s="32" t="s">
        <v>479</v>
      </c>
      <c r="BA195" s="25" t="s">
        <v>482</v>
      </c>
      <c r="BC195" s="31">
        <f>AW195+AX195</f>
        <v>0</v>
      </c>
      <c r="BD195" s="31">
        <f>G195/(100-BE195)*100</f>
        <v>0</v>
      </c>
      <c r="BE195" s="31">
        <v>0</v>
      </c>
      <c r="BF195" s="31">
        <f>L195</f>
        <v>2.5000000000000001E-2</v>
      </c>
      <c r="BH195" s="17">
        <f>F195*AO195</f>
        <v>0</v>
      </c>
      <c r="BI195" s="17">
        <f>F195*AP195</f>
        <v>0</v>
      </c>
      <c r="BJ195" s="17">
        <f>F195*G195</f>
        <v>0</v>
      </c>
    </row>
    <row r="196" spans="1:62">
      <c r="D196" s="66" t="s">
        <v>383</v>
      </c>
      <c r="F196" s="18">
        <v>1</v>
      </c>
    </row>
    <row r="197" spans="1:62" ht="25.5">
      <c r="A197" s="4" t="s">
        <v>87</v>
      </c>
      <c r="B197" s="4"/>
      <c r="C197" s="4" t="s">
        <v>195</v>
      </c>
      <c r="D197" s="65" t="s">
        <v>384</v>
      </c>
      <c r="E197" s="4" t="s">
        <v>438</v>
      </c>
      <c r="F197" s="17">
        <v>14</v>
      </c>
      <c r="G197" s="17">
        <v>0</v>
      </c>
      <c r="H197" s="17">
        <f>F197*AO197</f>
        <v>0</v>
      </c>
      <c r="I197" s="17">
        <f>F197*AP197</f>
        <v>0</v>
      </c>
      <c r="J197" s="17">
        <f>F197*G197</f>
        <v>0</v>
      </c>
      <c r="K197" s="17">
        <v>1.0999999999999999E-2</v>
      </c>
      <c r="L197" s="17">
        <f>F197*K197</f>
        <v>0.154</v>
      </c>
      <c r="M197" s="28"/>
      <c r="Z197" s="31">
        <f>IF(AQ197="5",BJ197,0)</f>
        <v>0</v>
      </c>
      <c r="AB197" s="31">
        <f>IF(AQ197="1",BH197,0)</f>
        <v>0</v>
      </c>
      <c r="AC197" s="31">
        <f>IF(AQ197="1",BI197,0)</f>
        <v>0</v>
      </c>
      <c r="AD197" s="31">
        <f>IF(AQ197="7",BH197,0)</f>
        <v>0</v>
      </c>
      <c r="AE197" s="31">
        <f>IF(AQ197="7",BI197,0)</f>
        <v>0</v>
      </c>
      <c r="AF197" s="31">
        <f>IF(AQ197="2",BH197,0)</f>
        <v>0</v>
      </c>
      <c r="AG197" s="31">
        <f>IF(AQ197="2",BI197,0)</f>
        <v>0</v>
      </c>
      <c r="AH197" s="31">
        <f>IF(AQ197="0",BJ197,0)</f>
        <v>0</v>
      </c>
      <c r="AI197" s="25"/>
      <c r="AJ197" s="17">
        <f>IF(AN197=0,J197,0)</f>
        <v>0</v>
      </c>
      <c r="AK197" s="17">
        <f>IF(AN197=15,J197,0)</f>
        <v>0</v>
      </c>
      <c r="AL197" s="17">
        <f>IF(AN197=21,J197,0)</f>
        <v>0</v>
      </c>
      <c r="AN197" s="31">
        <v>21</v>
      </c>
      <c r="AO197" s="31">
        <f>G197*0.833333333333333</f>
        <v>0</v>
      </c>
      <c r="AP197" s="31">
        <f>G197*(1-0.833333333333333)</f>
        <v>0</v>
      </c>
      <c r="AQ197" s="28" t="s">
        <v>12</v>
      </c>
      <c r="AV197" s="31">
        <f>AW197+AX197</f>
        <v>0</v>
      </c>
      <c r="AW197" s="31">
        <f>F197*AO197</f>
        <v>0</v>
      </c>
      <c r="AX197" s="31">
        <f>F197*AP197</f>
        <v>0</v>
      </c>
      <c r="AY197" s="32" t="s">
        <v>474</v>
      </c>
      <c r="AZ197" s="32" t="s">
        <v>479</v>
      </c>
      <c r="BA197" s="25" t="s">
        <v>482</v>
      </c>
      <c r="BC197" s="31">
        <f>AW197+AX197</f>
        <v>0</v>
      </c>
      <c r="BD197" s="31">
        <f>G197/(100-BE197)*100</f>
        <v>0</v>
      </c>
      <c r="BE197" s="31">
        <v>0</v>
      </c>
      <c r="BF197" s="31">
        <f>L197</f>
        <v>0.154</v>
      </c>
      <c r="BH197" s="17">
        <f>F197*AO197</f>
        <v>0</v>
      </c>
      <c r="BI197" s="17">
        <f>F197*AP197</f>
        <v>0</v>
      </c>
      <c r="BJ197" s="17">
        <f>F197*G197</f>
        <v>0</v>
      </c>
    </row>
    <row r="198" spans="1:62">
      <c r="D198" s="14" t="s">
        <v>385</v>
      </c>
    </row>
    <row r="199" spans="1:62">
      <c r="D199" s="66" t="s">
        <v>386</v>
      </c>
      <c r="F199" s="18">
        <v>14</v>
      </c>
    </row>
    <row r="200" spans="1:62">
      <c r="A200" s="4" t="s">
        <v>88</v>
      </c>
      <c r="B200" s="4"/>
      <c r="C200" s="4" t="s">
        <v>196</v>
      </c>
      <c r="D200" s="65" t="s">
        <v>387</v>
      </c>
      <c r="E200" s="4" t="s">
        <v>438</v>
      </c>
      <c r="F200" s="17">
        <v>12</v>
      </c>
      <c r="G200" s="17">
        <v>0</v>
      </c>
      <c r="H200" s="17">
        <f>F200*AO200</f>
        <v>0</v>
      </c>
      <c r="I200" s="17">
        <f>F200*AP200</f>
        <v>0</v>
      </c>
      <c r="J200" s="17">
        <f>F200*G200</f>
        <v>0</v>
      </c>
      <c r="K200" s="17">
        <v>1.1999999999999999E-3</v>
      </c>
      <c r="L200" s="17">
        <f>F200*K200</f>
        <v>1.44E-2</v>
      </c>
      <c r="M200" s="28"/>
      <c r="Z200" s="31">
        <f>IF(AQ200="5",BJ200,0)</f>
        <v>0</v>
      </c>
      <c r="AB200" s="31">
        <f>IF(AQ200="1",BH200,0)</f>
        <v>0</v>
      </c>
      <c r="AC200" s="31">
        <f>IF(AQ200="1",BI200,0)</f>
        <v>0</v>
      </c>
      <c r="AD200" s="31">
        <f>IF(AQ200="7",BH200,0)</f>
        <v>0</v>
      </c>
      <c r="AE200" s="31">
        <f>IF(AQ200="7",BI200,0)</f>
        <v>0</v>
      </c>
      <c r="AF200" s="31">
        <f>IF(AQ200="2",BH200,0)</f>
        <v>0</v>
      </c>
      <c r="AG200" s="31">
        <f>IF(AQ200="2",BI200,0)</f>
        <v>0</v>
      </c>
      <c r="AH200" s="31">
        <f>IF(AQ200="0",BJ200,0)</f>
        <v>0</v>
      </c>
      <c r="AI200" s="25"/>
      <c r="AJ200" s="17">
        <f>IF(AN200=0,J200,0)</f>
        <v>0</v>
      </c>
      <c r="AK200" s="17">
        <f>IF(AN200=15,J200,0)</f>
        <v>0</v>
      </c>
      <c r="AL200" s="17">
        <f>IF(AN200=21,J200,0)</f>
        <v>0</v>
      </c>
      <c r="AN200" s="31">
        <v>21</v>
      </c>
      <c r="AO200" s="31">
        <f>G200*0.912536443148688</f>
        <v>0</v>
      </c>
      <c r="AP200" s="31">
        <f>G200*(1-0.912536443148688)</f>
        <v>0</v>
      </c>
      <c r="AQ200" s="28" t="s">
        <v>12</v>
      </c>
      <c r="AV200" s="31">
        <f>AW200+AX200</f>
        <v>0</v>
      </c>
      <c r="AW200" s="31">
        <f>F200*AO200</f>
        <v>0</v>
      </c>
      <c r="AX200" s="31">
        <f>F200*AP200</f>
        <v>0</v>
      </c>
      <c r="AY200" s="32" t="s">
        <v>474</v>
      </c>
      <c r="AZ200" s="32" t="s">
        <v>479</v>
      </c>
      <c r="BA200" s="25" t="s">
        <v>482</v>
      </c>
      <c r="BC200" s="31">
        <f>AW200+AX200</f>
        <v>0</v>
      </c>
      <c r="BD200" s="31">
        <f>G200/(100-BE200)*100</f>
        <v>0</v>
      </c>
      <c r="BE200" s="31">
        <v>0</v>
      </c>
      <c r="BF200" s="31">
        <f>L200</f>
        <v>1.44E-2</v>
      </c>
      <c r="BH200" s="17">
        <f>F200*AO200</f>
        <v>0</v>
      </c>
      <c r="BI200" s="17">
        <f>F200*AP200</f>
        <v>0</v>
      </c>
      <c r="BJ200" s="17">
        <f>F200*G200</f>
        <v>0</v>
      </c>
    </row>
    <row r="201" spans="1:62">
      <c r="D201" s="66" t="s">
        <v>388</v>
      </c>
      <c r="F201" s="18">
        <v>12</v>
      </c>
    </row>
    <row r="202" spans="1:62">
      <c r="A202" s="4" t="s">
        <v>89</v>
      </c>
      <c r="B202" s="4"/>
      <c r="C202" s="4" t="s">
        <v>197</v>
      </c>
      <c r="D202" s="65" t="s">
        <v>389</v>
      </c>
      <c r="E202" s="4" t="s">
        <v>438</v>
      </c>
      <c r="F202" s="17">
        <v>12</v>
      </c>
      <c r="G202" s="17">
        <v>0</v>
      </c>
      <c r="H202" s="17">
        <f>F202*AO202</f>
        <v>0</v>
      </c>
      <c r="I202" s="17">
        <f>F202*AP202</f>
        <v>0</v>
      </c>
      <c r="J202" s="17">
        <f>F202*G202</f>
        <v>0</v>
      </c>
      <c r="K202" s="17">
        <v>1.0999999999999999E-2</v>
      </c>
      <c r="L202" s="17">
        <f>F202*K202</f>
        <v>0.13200000000000001</v>
      </c>
      <c r="M202" s="28"/>
      <c r="Z202" s="31">
        <f>IF(AQ202="5",BJ202,0)</f>
        <v>0</v>
      </c>
      <c r="AB202" s="31">
        <f>IF(AQ202="1",BH202,0)</f>
        <v>0</v>
      </c>
      <c r="AC202" s="31">
        <f>IF(AQ202="1",BI202,0)</f>
        <v>0</v>
      </c>
      <c r="AD202" s="31">
        <f>IF(AQ202="7",BH202,0)</f>
        <v>0</v>
      </c>
      <c r="AE202" s="31">
        <f>IF(AQ202="7",BI202,0)</f>
        <v>0</v>
      </c>
      <c r="AF202" s="31">
        <f>IF(AQ202="2",BH202,0)</f>
        <v>0</v>
      </c>
      <c r="AG202" s="31">
        <f>IF(AQ202="2",BI202,0)</f>
        <v>0</v>
      </c>
      <c r="AH202" s="31">
        <f>IF(AQ202="0",BJ202,0)</f>
        <v>0</v>
      </c>
      <c r="AI202" s="25"/>
      <c r="AJ202" s="17">
        <f>IF(AN202=0,J202,0)</f>
        <v>0</v>
      </c>
      <c r="AK202" s="17">
        <f>IF(AN202=15,J202,0)</f>
        <v>0</v>
      </c>
      <c r="AL202" s="17">
        <f>IF(AN202=21,J202,0)</f>
        <v>0</v>
      </c>
      <c r="AN202" s="31">
        <v>21</v>
      </c>
      <c r="AO202" s="31">
        <f>G202*1</f>
        <v>0</v>
      </c>
      <c r="AP202" s="31">
        <f>G202*(1-1)</f>
        <v>0</v>
      </c>
      <c r="AQ202" s="28" t="s">
        <v>12</v>
      </c>
      <c r="AV202" s="31">
        <f>AW202+AX202</f>
        <v>0</v>
      </c>
      <c r="AW202" s="31">
        <f>F202*AO202</f>
        <v>0</v>
      </c>
      <c r="AX202" s="31">
        <f>F202*AP202</f>
        <v>0</v>
      </c>
      <c r="AY202" s="32" t="s">
        <v>474</v>
      </c>
      <c r="AZ202" s="32" t="s">
        <v>479</v>
      </c>
      <c r="BA202" s="25" t="s">
        <v>482</v>
      </c>
      <c r="BC202" s="31">
        <f>AW202+AX202</f>
        <v>0</v>
      </c>
      <c r="BD202" s="31">
        <f>G202/(100-BE202)*100</f>
        <v>0</v>
      </c>
      <c r="BE202" s="31">
        <v>0</v>
      </c>
      <c r="BF202" s="31">
        <f>L202</f>
        <v>0.13200000000000001</v>
      </c>
      <c r="BH202" s="17">
        <f>F202*AO202</f>
        <v>0</v>
      </c>
      <c r="BI202" s="17">
        <f>F202*AP202</f>
        <v>0</v>
      </c>
      <c r="BJ202" s="17">
        <f>F202*G202</f>
        <v>0</v>
      </c>
    </row>
    <row r="203" spans="1:62">
      <c r="D203" s="66" t="s">
        <v>388</v>
      </c>
      <c r="F203" s="18">
        <v>12</v>
      </c>
    </row>
    <row r="204" spans="1:62">
      <c r="A204" s="4" t="s">
        <v>90</v>
      </c>
      <c r="B204" s="4"/>
      <c r="C204" s="4" t="s">
        <v>198</v>
      </c>
      <c r="D204" s="65" t="s">
        <v>390</v>
      </c>
      <c r="E204" s="4" t="s">
        <v>438</v>
      </c>
      <c r="F204" s="17">
        <v>27</v>
      </c>
      <c r="G204" s="17">
        <v>0</v>
      </c>
      <c r="H204" s="17">
        <f>F204*AO204</f>
        <v>0</v>
      </c>
      <c r="I204" s="17">
        <f>F204*AP204</f>
        <v>0</v>
      </c>
      <c r="J204" s="17">
        <f>F204*G204</f>
        <v>0</v>
      </c>
      <c r="K204" s="17">
        <v>1.0999999999999999E-2</v>
      </c>
      <c r="L204" s="17">
        <f>F204*K204</f>
        <v>0.29699999999999999</v>
      </c>
      <c r="M204" s="28"/>
      <c r="Z204" s="31">
        <f>IF(AQ204="5",BJ204,0)</f>
        <v>0</v>
      </c>
      <c r="AB204" s="31">
        <f>IF(AQ204="1",BH204,0)</f>
        <v>0</v>
      </c>
      <c r="AC204" s="31">
        <f>IF(AQ204="1",BI204,0)</f>
        <v>0</v>
      </c>
      <c r="AD204" s="31">
        <f>IF(AQ204="7",BH204,0)</f>
        <v>0</v>
      </c>
      <c r="AE204" s="31">
        <f>IF(AQ204="7",BI204,0)</f>
        <v>0</v>
      </c>
      <c r="AF204" s="31">
        <f>IF(AQ204="2",BH204,0)</f>
        <v>0</v>
      </c>
      <c r="AG204" s="31">
        <f>IF(AQ204="2",BI204,0)</f>
        <v>0</v>
      </c>
      <c r="AH204" s="31">
        <f>IF(AQ204="0",BJ204,0)</f>
        <v>0</v>
      </c>
      <c r="AI204" s="25"/>
      <c r="AJ204" s="17">
        <f>IF(AN204=0,J204,0)</f>
        <v>0</v>
      </c>
      <c r="AK204" s="17">
        <f>IF(AN204=15,J204,0)</f>
        <v>0</v>
      </c>
      <c r="AL204" s="17">
        <f>IF(AN204=21,J204,0)</f>
        <v>0</v>
      </c>
      <c r="AN204" s="31">
        <v>21</v>
      </c>
      <c r="AO204" s="31">
        <f>G204*0</f>
        <v>0</v>
      </c>
      <c r="AP204" s="31">
        <f>G204*(1-0)</f>
        <v>0</v>
      </c>
      <c r="AQ204" s="28" t="s">
        <v>12</v>
      </c>
      <c r="AV204" s="31">
        <f>AW204+AX204</f>
        <v>0</v>
      </c>
      <c r="AW204" s="31">
        <f>F204*AO204</f>
        <v>0</v>
      </c>
      <c r="AX204" s="31">
        <f>F204*AP204</f>
        <v>0</v>
      </c>
      <c r="AY204" s="32" t="s">
        <v>474</v>
      </c>
      <c r="AZ204" s="32" t="s">
        <v>479</v>
      </c>
      <c r="BA204" s="25" t="s">
        <v>482</v>
      </c>
      <c r="BC204" s="31">
        <f>AW204+AX204</f>
        <v>0</v>
      </c>
      <c r="BD204" s="31">
        <f>G204/(100-BE204)*100</f>
        <v>0</v>
      </c>
      <c r="BE204" s="31">
        <v>0</v>
      </c>
      <c r="BF204" s="31">
        <f>L204</f>
        <v>0.29699999999999999</v>
      </c>
      <c r="BH204" s="17">
        <f>F204*AO204</f>
        <v>0</v>
      </c>
      <c r="BI204" s="17">
        <f>F204*AP204</f>
        <v>0</v>
      </c>
      <c r="BJ204" s="17">
        <f>F204*G204</f>
        <v>0</v>
      </c>
    </row>
    <row r="205" spans="1:62">
      <c r="D205" s="66" t="s">
        <v>391</v>
      </c>
      <c r="F205" s="18">
        <v>27</v>
      </c>
    </row>
    <row r="206" spans="1:62">
      <c r="A206" s="4" t="s">
        <v>91</v>
      </c>
      <c r="B206" s="4"/>
      <c r="C206" s="4" t="s">
        <v>199</v>
      </c>
      <c r="D206" s="65" t="s">
        <v>392</v>
      </c>
      <c r="E206" s="4" t="s">
        <v>439</v>
      </c>
      <c r="F206" s="17">
        <v>8.5</v>
      </c>
      <c r="G206" s="17">
        <v>0</v>
      </c>
      <c r="H206" s="17">
        <f>F206*AO206</f>
        <v>0</v>
      </c>
      <c r="I206" s="17">
        <f>F206*AP206</f>
        <v>0</v>
      </c>
      <c r="J206" s="17">
        <f>F206*G206</f>
        <v>0</v>
      </c>
      <c r="K206" s="17">
        <v>0</v>
      </c>
      <c r="L206" s="17">
        <f>F206*K206</f>
        <v>0</v>
      </c>
      <c r="M206" s="28" t="s">
        <v>462</v>
      </c>
      <c r="Z206" s="31">
        <f>IF(AQ206="5",BJ206,0)</f>
        <v>0</v>
      </c>
      <c r="AB206" s="31">
        <f>IF(AQ206="1",BH206,0)</f>
        <v>0</v>
      </c>
      <c r="AC206" s="31">
        <f>IF(AQ206="1",BI206,0)</f>
        <v>0</v>
      </c>
      <c r="AD206" s="31">
        <f>IF(AQ206="7",BH206,0)</f>
        <v>0</v>
      </c>
      <c r="AE206" s="31">
        <f>IF(AQ206="7",BI206,0)</f>
        <v>0</v>
      </c>
      <c r="AF206" s="31">
        <f>IF(AQ206="2",BH206,0)</f>
        <v>0</v>
      </c>
      <c r="AG206" s="31">
        <f>IF(AQ206="2",BI206,0)</f>
        <v>0</v>
      </c>
      <c r="AH206" s="31">
        <f>IF(AQ206="0",BJ206,0)</f>
        <v>0</v>
      </c>
      <c r="AI206" s="25"/>
      <c r="AJ206" s="17">
        <f>IF(AN206=0,J206,0)</f>
        <v>0</v>
      </c>
      <c r="AK206" s="17">
        <f>IF(AN206=15,J206,0)</f>
        <v>0</v>
      </c>
      <c r="AL206" s="17">
        <f>IF(AN206=21,J206,0)</f>
        <v>0</v>
      </c>
      <c r="AN206" s="31">
        <v>21</v>
      </c>
      <c r="AO206" s="31">
        <f>G206*0</f>
        <v>0</v>
      </c>
      <c r="AP206" s="31">
        <f>G206*(1-0)</f>
        <v>0</v>
      </c>
      <c r="AQ206" s="28" t="s">
        <v>10</v>
      </c>
      <c r="AV206" s="31">
        <f>AW206+AX206</f>
        <v>0</v>
      </c>
      <c r="AW206" s="31">
        <f>F206*AO206</f>
        <v>0</v>
      </c>
      <c r="AX206" s="31">
        <f>F206*AP206</f>
        <v>0</v>
      </c>
      <c r="AY206" s="32" t="s">
        <v>474</v>
      </c>
      <c r="AZ206" s="32" t="s">
        <v>479</v>
      </c>
      <c r="BA206" s="25" t="s">
        <v>482</v>
      </c>
      <c r="BC206" s="31">
        <f>AW206+AX206</f>
        <v>0</v>
      </c>
      <c r="BD206" s="31">
        <f>G206/(100-BE206)*100</f>
        <v>0</v>
      </c>
      <c r="BE206" s="31">
        <v>0</v>
      </c>
      <c r="BF206" s="31">
        <f>L206</f>
        <v>0</v>
      </c>
      <c r="BH206" s="17">
        <f>F206*AO206</f>
        <v>0</v>
      </c>
      <c r="BI206" s="17">
        <f>F206*AP206</f>
        <v>0</v>
      </c>
      <c r="BJ206" s="17">
        <f>F206*G206</f>
        <v>0</v>
      </c>
    </row>
    <row r="207" spans="1:62">
      <c r="D207" s="66" t="s">
        <v>393</v>
      </c>
      <c r="F207" s="18">
        <v>8.5</v>
      </c>
    </row>
    <row r="208" spans="1:62" ht="25.5">
      <c r="A208" s="4" t="s">
        <v>92</v>
      </c>
      <c r="B208" s="4"/>
      <c r="C208" s="4" t="s">
        <v>200</v>
      </c>
      <c r="D208" s="65" t="s">
        <v>394</v>
      </c>
      <c r="E208" s="4" t="s">
        <v>438</v>
      </c>
      <c r="F208" s="17">
        <v>0</v>
      </c>
      <c r="G208" s="17">
        <v>0</v>
      </c>
      <c r="H208" s="17">
        <f>F208*AO208</f>
        <v>0</v>
      </c>
      <c r="I208" s="17">
        <f>F208*AP208</f>
        <v>0</v>
      </c>
      <c r="J208" s="17">
        <f>F208*G208</f>
        <v>0</v>
      </c>
      <c r="K208" s="17">
        <v>0</v>
      </c>
      <c r="L208" s="17">
        <f>F208*K208</f>
        <v>0</v>
      </c>
      <c r="M208" s="28"/>
      <c r="Z208" s="31">
        <f>IF(AQ208="5",BJ208,0)</f>
        <v>0</v>
      </c>
      <c r="AB208" s="31">
        <f>IF(AQ208="1",BH208,0)</f>
        <v>0</v>
      </c>
      <c r="AC208" s="31">
        <f>IF(AQ208="1",BI208,0)</f>
        <v>0</v>
      </c>
      <c r="AD208" s="31">
        <f>IF(AQ208="7",BH208,0)</f>
        <v>0</v>
      </c>
      <c r="AE208" s="31">
        <f>IF(AQ208="7",BI208,0)</f>
        <v>0</v>
      </c>
      <c r="AF208" s="31">
        <f>IF(AQ208="2",BH208,0)</f>
        <v>0</v>
      </c>
      <c r="AG208" s="31">
        <f>IF(AQ208="2",BI208,0)</f>
        <v>0</v>
      </c>
      <c r="AH208" s="31">
        <f>IF(AQ208="0",BJ208,0)</f>
        <v>0</v>
      </c>
      <c r="AI208" s="25"/>
      <c r="AJ208" s="17">
        <f>IF(AN208=0,J208,0)</f>
        <v>0</v>
      </c>
      <c r="AK208" s="17">
        <f>IF(AN208=15,J208,0)</f>
        <v>0</v>
      </c>
      <c r="AL208" s="17">
        <f>IF(AN208=21,J208,0)</f>
        <v>0</v>
      </c>
      <c r="AN208" s="31">
        <v>21</v>
      </c>
      <c r="AO208" s="31">
        <f>G208*0</f>
        <v>0</v>
      </c>
      <c r="AP208" s="31">
        <f>G208*(1-0)</f>
        <v>0</v>
      </c>
      <c r="AQ208" s="28" t="s">
        <v>12</v>
      </c>
      <c r="AV208" s="31">
        <f>AW208+AX208</f>
        <v>0</v>
      </c>
      <c r="AW208" s="31">
        <f>F208*AO208</f>
        <v>0</v>
      </c>
      <c r="AX208" s="31">
        <f>F208*AP208</f>
        <v>0</v>
      </c>
      <c r="AY208" s="32" t="s">
        <v>474</v>
      </c>
      <c r="AZ208" s="32" t="s">
        <v>479</v>
      </c>
      <c r="BA208" s="25" t="s">
        <v>482</v>
      </c>
      <c r="BC208" s="31">
        <f>AW208+AX208</f>
        <v>0</v>
      </c>
      <c r="BD208" s="31">
        <f>G208/(100-BE208)*100</f>
        <v>0</v>
      </c>
      <c r="BE208" s="31">
        <v>0</v>
      </c>
      <c r="BF208" s="31">
        <f>L208</f>
        <v>0</v>
      </c>
      <c r="BH208" s="17">
        <f>F208*AO208</f>
        <v>0</v>
      </c>
      <c r="BI208" s="17">
        <f>F208*AP208</f>
        <v>0</v>
      </c>
      <c r="BJ208" s="17">
        <f>F208*G208</f>
        <v>0</v>
      </c>
    </row>
    <row r="209" spans="1:62">
      <c r="A209" s="5"/>
      <c r="B209" s="12"/>
      <c r="C209" s="12" t="s">
        <v>201</v>
      </c>
      <c r="D209" s="67" t="s">
        <v>395</v>
      </c>
      <c r="E209" s="5" t="s">
        <v>5</v>
      </c>
      <c r="F209" s="5" t="s">
        <v>5</v>
      </c>
      <c r="G209" s="5" t="s">
        <v>5</v>
      </c>
      <c r="H209" s="34">
        <f>SUM(H210:H214)</f>
        <v>0</v>
      </c>
      <c r="I209" s="34">
        <f>SUM(I210:I214)</f>
        <v>0</v>
      </c>
      <c r="J209" s="34">
        <f>SUM(J210:J214)</f>
        <v>0</v>
      </c>
      <c r="K209" s="25"/>
      <c r="L209" s="34">
        <f>SUM(L210:L214)</f>
        <v>5.5800000000000002E-2</v>
      </c>
      <c r="M209" s="25"/>
      <c r="AI209" s="25"/>
      <c r="AS209" s="34">
        <f>SUM(AJ210:AJ214)</f>
        <v>0</v>
      </c>
      <c r="AT209" s="34">
        <f>SUM(AK210:AK214)</f>
        <v>0</v>
      </c>
      <c r="AU209" s="34">
        <f>SUM(AL210:AL214)</f>
        <v>0</v>
      </c>
    </row>
    <row r="210" spans="1:62" ht="25.5">
      <c r="A210" s="4" t="s">
        <v>93</v>
      </c>
      <c r="B210" s="4"/>
      <c r="C210" s="4" t="s">
        <v>202</v>
      </c>
      <c r="D210" s="65" t="s">
        <v>396</v>
      </c>
      <c r="E210" s="4" t="s">
        <v>442</v>
      </c>
      <c r="F210" s="17">
        <v>930</v>
      </c>
      <c r="G210" s="17">
        <v>0</v>
      </c>
      <c r="H210" s="17">
        <f>F210*AO210</f>
        <v>0</v>
      </c>
      <c r="I210" s="17">
        <f>F210*AP210</f>
        <v>0</v>
      </c>
      <c r="J210" s="17">
        <f>F210*G210</f>
        <v>0</v>
      </c>
      <c r="K210" s="17">
        <v>6.0000000000000002E-5</v>
      </c>
      <c r="L210" s="17">
        <f>F210*K210</f>
        <v>5.5800000000000002E-2</v>
      </c>
      <c r="M210" s="28" t="s">
        <v>462</v>
      </c>
      <c r="Z210" s="31">
        <f>IF(AQ210="5",BJ210,0)</f>
        <v>0</v>
      </c>
      <c r="AB210" s="31">
        <f>IF(AQ210="1",BH210,0)</f>
        <v>0</v>
      </c>
      <c r="AC210" s="31">
        <f>IF(AQ210="1",BI210,0)</f>
        <v>0</v>
      </c>
      <c r="AD210" s="31">
        <f>IF(AQ210="7",BH210,0)</f>
        <v>0</v>
      </c>
      <c r="AE210" s="31">
        <f>IF(AQ210="7",BI210,0)</f>
        <v>0</v>
      </c>
      <c r="AF210" s="31">
        <f>IF(AQ210="2",BH210,0)</f>
        <v>0</v>
      </c>
      <c r="AG210" s="31">
        <f>IF(AQ210="2",BI210,0)</f>
        <v>0</v>
      </c>
      <c r="AH210" s="31">
        <f>IF(AQ210="0",BJ210,0)</f>
        <v>0</v>
      </c>
      <c r="AI210" s="25"/>
      <c r="AJ210" s="17">
        <f>IF(AN210=0,J210,0)</f>
        <v>0</v>
      </c>
      <c r="AK210" s="17">
        <f>IF(AN210=15,J210,0)</f>
        <v>0</v>
      </c>
      <c r="AL210" s="17">
        <f>IF(AN210=21,J210,0)</f>
        <v>0</v>
      </c>
      <c r="AN210" s="31">
        <v>21</v>
      </c>
      <c r="AO210" s="31">
        <f>G210*0.11508009574664</f>
        <v>0</v>
      </c>
      <c r="AP210" s="31">
        <f>G210*(1-0.11508009574664)</f>
        <v>0</v>
      </c>
      <c r="AQ210" s="28" t="s">
        <v>12</v>
      </c>
      <c r="AV210" s="31">
        <f>AW210+AX210</f>
        <v>0</v>
      </c>
      <c r="AW210" s="31">
        <f>F210*AO210</f>
        <v>0</v>
      </c>
      <c r="AX210" s="31">
        <f>F210*AP210</f>
        <v>0</v>
      </c>
      <c r="AY210" s="32" t="s">
        <v>475</v>
      </c>
      <c r="AZ210" s="32" t="s">
        <v>480</v>
      </c>
      <c r="BA210" s="25" t="s">
        <v>482</v>
      </c>
      <c r="BC210" s="31">
        <f>AW210+AX210</f>
        <v>0</v>
      </c>
      <c r="BD210" s="31">
        <f>G210/(100-BE210)*100</f>
        <v>0</v>
      </c>
      <c r="BE210" s="31">
        <v>0</v>
      </c>
      <c r="BF210" s="31">
        <f>L210</f>
        <v>5.5800000000000002E-2</v>
      </c>
      <c r="BH210" s="17">
        <f>F210*AO210</f>
        <v>0</v>
      </c>
      <c r="BI210" s="17">
        <f>F210*AP210</f>
        <v>0</v>
      </c>
      <c r="BJ210" s="17">
        <f>F210*G210</f>
        <v>0</v>
      </c>
    </row>
    <row r="211" spans="1:62" ht="25.5">
      <c r="D211" s="14" t="s">
        <v>397</v>
      </c>
    </row>
    <row r="212" spans="1:62">
      <c r="D212" s="66" t="s">
        <v>281</v>
      </c>
      <c r="F212" s="18">
        <v>275</v>
      </c>
    </row>
    <row r="213" spans="1:62">
      <c r="D213" s="66" t="s">
        <v>398</v>
      </c>
      <c r="F213" s="18">
        <v>655</v>
      </c>
    </row>
    <row r="214" spans="1:62">
      <c r="A214" s="4" t="s">
        <v>94</v>
      </c>
      <c r="B214" s="4"/>
      <c r="C214" s="4" t="s">
        <v>203</v>
      </c>
      <c r="D214" s="65" t="s">
        <v>399</v>
      </c>
      <c r="E214" s="4" t="s">
        <v>439</v>
      </c>
      <c r="F214" s="17">
        <v>1</v>
      </c>
      <c r="G214" s="17">
        <v>0</v>
      </c>
      <c r="H214" s="17">
        <f>F214*AO214</f>
        <v>0</v>
      </c>
      <c r="I214" s="17">
        <f>F214*AP214</f>
        <v>0</v>
      </c>
      <c r="J214" s="17">
        <f>F214*G214</f>
        <v>0</v>
      </c>
      <c r="K214" s="17">
        <v>0</v>
      </c>
      <c r="L214" s="17">
        <f>F214*K214</f>
        <v>0</v>
      </c>
      <c r="M214" s="28" t="s">
        <v>462</v>
      </c>
      <c r="Z214" s="31">
        <f>IF(AQ214="5",BJ214,0)</f>
        <v>0</v>
      </c>
      <c r="AB214" s="31">
        <f>IF(AQ214="1",BH214,0)</f>
        <v>0</v>
      </c>
      <c r="AC214" s="31">
        <f>IF(AQ214="1",BI214,0)</f>
        <v>0</v>
      </c>
      <c r="AD214" s="31">
        <f>IF(AQ214="7",BH214,0)</f>
        <v>0</v>
      </c>
      <c r="AE214" s="31">
        <f>IF(AQ214="7",BI214,0)</f>
        <v>0</v>
      </c>
      <c r="AF214" s="31">
        <f>IF(AQ214="2",BH214,0)</f>
        <v>0</v>
      </c>
      <c r="AG214" s="31">
        <f>IF(AQ214="2",BI214,0)</f>
        <v>0</v>
      </c>
      <c r="AH214" s="31">
        <f>IF(AQ214="0",BJ214,0)</f>
        <v>0</v>
      </c>
      <c r="AI214" s="25"/>
      <c r="AJ214" s="17">
        <f>IF(AN214=0,J214,0)</f>
        <v>0</v>
      </c>
      <c r="AK214" s="17">
        <f>IF(AN214=15,J214,0)</f>
        <v>0</v>
      </c>
      <c r="AL214" s="17">
        <f>IF(AN214=21,J214,0)</f>
        <v>0</v>
      </c>
      <c r="AN214" s="31">
        <v>21</v>
      </c>
      <c r="AO214" s="31">
        <f>G214*0</f>
        <v>0</v>
      </c>
      <c r="AP214" s="31">
        <f>G214*(1-0)</f>
        <v>0</v>
      </c>
      <c r="AQ214" s="28" t="s">
        <v>10</v>
      </c>
      <c r="AV214" s="31">
        <f>AW214+AX214</f>
        <v>0</v>
      </c>
      <c r="AW214" s="31">
        <f>F214*AO214</f>
        <v>0</v>
      </c>
      <c r="AX214" s="31">
        <f>F214*AP214</f>
        <v>0</v>
      </c>
      <c r="AY214" s="32" t="s">
        <v>475</v>
      </c>
      <c r="AZ214" s="32" t="s">
        <v>480</v>
      </c>
      <c r="BA214" s="25" t="s">
        <v>482</v>
      </c>
      <c r="BC214" s="31">
        <f>AW214+AX214</f>
        <v>0</v>
      </c>
      <c r="BD214" s="31">
        <f>G214/(100-BE214)*100</f>
        <v>0</v>
      </c>
      <c r="BE214" s="31">
        <v>0</v>
      </c>
      <c r="BF214" s="31">
        <f>L214</f>
        <v>0</v>
      </c>
      <c r="BH214" s="17">
        <f>F214*AO214</f>
        <v>0</v>
      </c>
      <c r="BI214" s="17">
        <f>F214*AP214</f>
        <v>0</v>
      </c>
      <c r="BJ214" s="17">
        <f>F214*G214</f>
        <v>0</v>
      </c>
    </row>
    <row r="215" spans="1:62">
      <c r="D215" s="66" t="s">
        <v>383</v>
      </c>
      <c r="F215" s="18">
        <v>1</v>
      </c>
    </row>
    <row r="216" spans="1:62">
      <c r="A216" s="5"/>
      <c r="B216" s="12"/>
      <c r="C216" s="12" t="s">
        <v>99</v>
      </c>
      <c r="D216" s="67" t="s">
        <v>400</v>
      </c>
      <c r="E216" s="5" t="s">
        <v>5</v>
      </c>
      <c r="F216" s="5" t="s">
        <v>5</v>
      </c>
      <c r="G216" s="5" t="s">
        <v>5</v>
      </c>
      <c r="H216" s="34">
        <f>SUM(H217:H222)</f>
        <v>0</v>
      </c>
      <c r="I216" s="34">
        <f>SUM(I217:I222)</f>
        <v>0</v>
      </c>
      <c r="J216" s="34">
        <f>SUM(J217:J222)</f>
        <v>0</v>
      </c>
      <c r="K216" s="25"/>
      <c r="L216" s="34">
        <f>SUM(L217:L222)</f>
        <v>0</v>
      </c>
      <c r="M216" s="25"/>
      <c r="AI216" s="25"/>
      <c r="AS216" s="34">
        <f>SUM(AJ217:AJ222)</f>
        <v>0</v>
      </c>
      <c r="AT216" s="34">
        <f>SUM(AK217:AK222)</f>
        <v>0</v>
      </c>
      <c r="AU216" s="34">
        <f>SUM(AL217:AL222)</f>
        <v>0</v>
      </c>
    </row>
    <row r="217" spans="1:62">
      <c r="A217" s="4" t="s">
        <v>95</v>
      </c>
      <c r="B217" s="4"/>
      <c r="C217" s="4" t="s">
        <v>204</v>
      </c>
      <c r="D217" s="65" t="s">
        <v>401</v>
      </c>
      <c r="E217" s="4" t="s">
        <v>443</v>
      </c>
      <c r="F217" s="17">
        <v>1</v>
      </c>
      <c r="G217" s="17">
        <v>0</v>
      </c>
      <c r="H217" s="17">
        <f>F217*AO217</f>
        <v>0</v>
      </c>
      <c r="I217" s="17">
        <f>F217*AP217</f>
        <v>0</v>
      </c>
      <c r="J217" s="17">
        <f>F217*G217</f>
        <v>0</v>
      </c>
      <c r="K217" s="17">
        <v>0</v>
      </c>
      <c r="L217" s="17">
        <f>F217*K217</f>
        <v>0</v>
      </c>
      <c r="M217" s="28" t="s">
        <v>462</v>
      </c>
      <c r="Z217" s="31">
        <f>IF(AQ217="5",BJ217,0)</f>
        <v>0</v>
      </c>
      <c r="AB217" s="31">
        <f>IF(AQ217="1",BH217,0)</f>
        <v>0</v>
      </c>
      <c r="AC217" s="31">
        <f>IF(AQ217="1",BI217,0)</f>
        <v>0</v>
      </c>
      <c r="AD217" s="31">
        <f>IF(AQ217="7",BH217,0)</f>
        <v>0</v>
      </c>
      <c r="AE217" s="31">
        <f>IF(AQ217="7",BI217,0)</f>
        <v>0</v>
      </c>
      <c r="AF217" s="31">
        <f>IF(AQ217="2",BH217,0)</f>
        <v>0</v>
      </c>
      <c r="AG217" s="31">
        <f>IF(AQ217="2",BI217,0)</f>
        <v>0</v>
      </c>
      <c r="AH217" s="31">
        <f>IF(AQ217="0",BJ217,0)</f>
        <v>0</v>
      </c>
      <c r="AI217" s="25"/>
      <c r="AJ217" s="17">
        <f>IF(AN217=0,J217,0)</f>
        <v>0</v>
      </c>
      <c r="AK217" s="17">
        <f>IF(AN217=15,J217,0)</f>
        <v>0</v>
      </c>
      <c r="AL217" s="17">
        <f>IF(AN217=21,J217,0)</f>
        <v>0</v>
      </c>
      <c r="AN217" s="31">
        <v>21</v>
      </c>
      <c r="AO217" s="31">
        <f>G217*0</f>
        <v>0</v>
      </c>
      <c r="AP217" s="31">
        <f>G217*(1-0)</f>
        <v>0</v>
      </c>
      <c r="AQ217" s="28" t="s">
        <v>6</v>
      </c>
      <c r="AV217" s="31">
        <f>AW217+AX217</f>
        <v>0</v>
      </c>
      <c r="AW217" s="31">
        <f>F217*AO217</f>
        <v>0</v>
      </c>
      <c r="AX217" s="31">
        <f>F217*AP217</f>
        <v>0</v>
      </c>
      <c r="AY217" s="32" t="s">
        <v>476</v>
      </c>
      <c r="AZ217" s="32" t="s">
        <v>481</v>
      </c>
      <c r="BA217" s="25" t="s">
        <v>482</v>
      </c>
      <c r="BC217" s="31">
        <f>AW217+AX217</f>
        <v>0</v>
      </c>
      <c r="BD217" s="31">
        <f>G217/(100-BE217)*100</f>
        <v>0</v>
      </c>
      <c r="BE217" s="31">
        <v>0</v>
      </c>
      <c r="BF217" s="31">
        <f>L217</f>
        <v>0</v>
      </c>
      <c r="BH217" s="17">
        <f>F217*AO217</f>
        <v>0</v>
      </c>
      <c r="BI217" s="17">
        <f>F217*AP217</f>
        <v>0</v>
      </c>
      <c r="BJ217" s="17">
        <f>F217*G217</f>
        <v>0</v>
      </c>
    </row>
    <row r="218" spans="1:62">
      <c r="D218" s="14" t="s">
        <v>402</v>
      </c>
    </row>
    <row r="219" spans="1:62">
      <c r="D219" s="66" t="s">
        <v>403</v>
      </c>
      <c r="F219" s="18">
        <v>1</v>
      </c>
    </row>
    <row r="220" spans="1:62">
      <c r="A220" s="4" t="s">
        <v>96</v>
      </c>
      <c r="B220" s="4"/>
      <c r="C220" s="4" t="s">
        <v>205</v>
      </c>
      <c r="D220" s="65" t="s">
        <v>404</v>
      </c>
      <c r="E220" s="4" t="s">
        <v>444</v>
      </c>
      <c r="F220" s="17">
        <v>90</v>
      </c>
      <c r="G220" s="17">
        <v>0</v>
      </c>
      <c r="H220" s="17">
        <f>F220*AO220</f>
        <v>0</v>
      </c>
      <c r="I220" s="17">
        <f>F220*AP220</f>
        <v>0</v>
      </c>
      <c r="J220" s="17">
        <f>F220*G220</f>
        <v>0</v>
      </c>
      <c r="K220" s="17">
        <v>0</v>
      </c>
      <c r="L220" s="17">
        <f>F220*K220</f>
        <v>0</v>
      </c>
      <c r="M220" s="28" t="s">
        <v>462</v>
      </c>
      <c r="Z220" s="31">
        <f>IF(AQ220="5",BJ220,0)</f>
        <v>0</v>
      </c>
      <c r="AB220" s="31">
        <f>IF(AQ220="1",BH220,0)</f>
        <v>0</v>
      </c>
      <c r="AC220" s="31">
        <f>IF(AQ220="1",BI220,0)</f>
        <v>0</v>
      </c>
      <c r="AD220" s="31">
        <f>IF(AQ220="7",BH220,0)</f>
        <v>0</v>
      </c>
      <c r="AE220" s="31">
        <f>IF(AQ220="7",BI220,0)</f>
        <v>0</v>
      </c>
      <c r="AF220" s="31">
        <f>IF(AQ220="2",BH220,0)</f>
        <v>0</v>
      </c>
      <c r="AG220" s="31">
        <f>IF(AQ220="2",BI220,0)</f>
        <v>0</v>
      </c>
      <c r="AH220" s="31">
        <f>IF(AQ220="0",BJ220,0)</f>
        <v>0</v>
      </c>
      <c r="AI220" s="25"/>
      <c r="AJ220" s="17">
        <f>IF(AN220=0,J220,0)</f>
        <v>0</v>
      </c>
      <c r="AK220" s="17">
        <f>IF(AN220=15,J220,0)</f>
        <v>0</v>
      </c>
      <c r="AL220" s="17">
        <f>IF(AN220=21,J220,0)</f>
        <v>0</v>
      </c>
      <c r="AN220" s="31">
        <v>21</v>
      </c>
      <c r="AO220" s="31">
        <f>G220*0</f>
        <v>0</v>
      </c>
      <c r="AP220" s="31">
        <f>G220*(1-0)</f>
        <v>0</v>
      </c>
      <c r="AQ220" s="28" t="s">
        <v>6</v>
      </c>
      <c r="AV220" s="31">
        <f>AW220+AX220</f>
        <v>0</v>
      </c>
      <c r="AW220" s="31">
        <f>F220*AO220</f>
        <v>0</v>
      </c>
      <c r="AX220" s="31">
        <f>F220*AP220</f>
        <v>0</v>
      </c>
      <c r="AY220" s="32" t="s">
        <v>476</v>
      </c>
      <c r="AZ220" s="32" t="s">
        <v>481</v>
      </c>
      <c r="BA220" s="25" t="s">
        <v>482</v>
      </c>
      <c r="BC220" s="31">
        <f>AW220+AX220</f>
        <v>0</v>
      </c>
      <c r="BD220" s="31">
        <f>G220/(100-BE220)*100</f>
        <v>0</v>
      </c>
      <c r="BE220" s="31">
        <v>0</v>
      </c>
      <c r="BF220" s="31">
        <f>L220</f>
        <v>0</v>
      </c>
      <c r="BH220" s="17">
        <f>F220*AO220</f>
        <v>0</v>
      </c>
      <c r="BI220" s="17">
        <f>F220*AP220</f>
        <v>0</v>
      </c>
      <c r="BJ220" s="17">
        <f>F220*G220</f>
        <v>0</v>
      </c>
    </row>
    <row r="221" spans="1:62">
      <c r="D221" s="66" t="s">
        <v>405</v>
      </c>
      <c r="F221" s="18">
        <v>90</v>
      </c>
    </row>
    <row r="222" spans="1:62">
      <c r="A222" s="4" t="s">
        <v>97</v>
      </c>
      <c r="B222" s="4"/>
      <c r="C222" s="4" t="s">
        <v>206</v>
      </c>
      <c r="D222" s="65" t="s">
        <v>406</v>
      </c>
      <c r="E222" s="4" t="s">
        <v>443</v>
      </c>
      <c r="F222" s="17">
        <v>1</v>
      </c>
      <c r="G222" s="17">
        <v>0</v>
      </c>
      <c r="H222" s="17">
        <f>F222*AO222</f>
        <v>0</v>
      </c>
      <c r="I222" s="17">
        <f>F222*AP222</f>
        <v>0</v>
      </c>
      <c r="J222" s="17">
        <f>F222*G222</f>
        <v>0</v>
      </c>
      <c r="K222" s="17">
        <v>0</v>
      </c>
      <c r="L222" s="17">
        <f>F222*K222</f>
        <v>0</v>
      </c>
      <c r="M222" s="28" t="s">
        <v>462</v>
      </c>
      <c r="Z222" s="31">
        <f>IF(AQ222="5",BJ222,0)</f>
        <v>0</v>
      </c>
      <c r="AB222" s="31">
        <f>IF(AQ222="1",BH222,0)</f>
        <v>0</v>
      </c>
      <c r="AC222" s="31">
        <f>IF(AQ222="1",BI222,0)</f>
        <v>0</v>
      </c>
      <c r="AD222" s="31">
        <f>IF(AQ222="7",BH222,0)</f>
        <v>0</v>
      </c>
      <c r="AE222" s="31">
        <f>IF(AQ222="7",BI222,0)</f>
        <v>0</v>
      </c>
      <c r="AF222" s="31">
        <f>IF(AQ222="2",BH222,0)</f>
        <v>0</v>
      </c>
      <c r="AG222" s="31">
        <f>IF(AQ222="2",BI222,0)</f>
        <v>0</v>
      </c>
      <c r="AH222" s="31">
        <f>IF(AQ222="0",BJ222,0)</f>
        <v>0</v>
      </c>
      <c r="AI222" s="25"/>
      <c r="AJ222" s="17">
        <f>IF(AN222=0,J222,0)</f>
        <v>0</v>
      </c>
      <c r="AK222" s="17">
        <f>IF(AN222=15,J222,0)</f>
        <v>0</v>
      </c>
      <c r="AL222" s="17">
        <f>IF(AN222=21,J222,0)</f>
        <v>0</v>
      </c>
      <c r="AN222" s="31">
        <v>21</v>
      </c>
      <c r="AO222" s="31">
        <f>G222*0</f>
        <v>0</v>
      </c>
      <c r="AP222" s="31">
        <f>G222*(1-0)</f>
        <v>0</v>
      </c>
      <c r="AQ222" s="28" t="s">
        <v>6</v>
      </c>
      <c r="AV222" s="31">
        <f>AW222+AX222</f>
        <v>0</v>
      </c>
      <c r="AW222" s="31">
        <f>F222*AO222</f>
        <v>0</v>
      </c>
      <c r="AX222" s="31">
        <f>F222*AP222</f>
        <v>0</v>
      </c>
      <c r="AY222" s="32" t="s">
        <v>476</v>
      </c>
      <c r="AZ222" s="32" t="s">
        <v>481</v>
      </c>
      <c r="BA222" s="25" t="s">
        <v>482</v>
      </c>
      <c r="BC222" s="31">
        <f>AW222+AX222</f>
        <v>0</v>
      </c>
      <c r="BD222" s="31">
        <f>G222/(100-BE222)*100</f>
        <v>0</v>
      </c>
      <c r="BE222" s="31">
        <v>0</v>
      </c>
      <c r="BF222" s="31">
        <f>L222</f>
        <v>0</v>
      </c>
      <c r="BH222" s="17">
        <f>F222*AO222</f>
        <v>0</v>
      </c>
      <c r="BI222" s="17">
        <f>F222*AP222</f>
        <v>0</v>
      </c>
      <c r="BJ222" s="17">
        <f>F222*G222</f>
        <v>0</v>
      </c>
    </row>
    <row r="223" spans="1:62">
      <c r="D223" s="66" t="s">
        <v>407</v>
      </c>
      <c r="F223" s="18">
        <v>1</v>
      </c>
    </row>
    <row r="224" spans="1:62">
      <c r="A224" s="5"/>
      <c r="B224" s="12"/>
      <c r="C224" s="12" t="s">
        <v>102</v>
      </c>
      <c r="D224" s="67" t="s">
        <v>408</v>
      </c>
      <c r="E224" s="5" t="s">
        <v>5</v>
      </c>
      <c r="F224" s="5" t="s">
        <v>5</v>
      </c>
      <c r="G224" s="5" t="s">
        <v>5</v>
      </c>
      <c r="H224" s="34">
        <f>SUM(H225:H233)</f>
        <v>0</v>
      </c>
      <c r="I224" s="34">
        <f>SUM(I225:I233)</f>
        <v>0</v>
      </c>
      <c r="J224" s="34">
        <f>SUM(J225:J233)</f>
        <v>0</v>
      </c>
      <c r="K224" s="25"/>
      <c r="L224" s="34">
        <f>SUM(L225:L233)</f>
        <v>3.1100050000000001</v>
      </c>
      <c r="M224" s="25"/>
      <c r="AI224" s="25"/>
      <c r="AS224" s="34">
        <f>SUM(AJ225:AJ233)</f>
        <v>0</v>
      </c>
      <c r="AT224" s="34">
        <f>SUM(AK225:AK233)</f>
        <v>0</v>
      </c>
      <c r="AU224" s="34">
        <f>SUM(AL225:AL233)</f>
        <v>0</v>
      </c>
    </row>
    <row r="225" spans="1:62">
      <c r="A225" s="15" t="s">
        <v>98</v>
      </c>
      <c r="B225" s="15"/>
      <c r="C225" s="15" t="s">
        <v>207</v>
      </c>
      <c r="D225" s="68" t="s">
        <v>409</v>
      </c>
      <c r="E225" s="15" t="s">
        <v>437</v>
      </c>
      <c r="F225" s="31">
        <v>20</v>
      </c>
      <c r="G225" s="31">
        <v>0</v>
      </c>
      <c r="H225" s="31">
        <f>F225*AO225</f>
        <v>0</v>
      </c>
      <c r="I225" s="31">
        <f>F225*AP225</f>
        <v>0</v>
      </c>
      <c r="J225" s="31">
        <f>F225*G225</f>
        <v>0</v>
      </c>
      <c r="K225" s="31">
        <v>2.8700000000000002E-3</v>
      </c>
      <c r="L225" s="31">
        <f>F225*K225</f>
        <v>5.7400000000000007E-2</v>
      </c>
      <c r="M225" s="32" t="s">
        <v>462</v>
      </c>
      <c r="Z225" s="31">
        <f>IF(AQ225="5",BJ225,0)</f>
        <v>0</v>
      </c>
      <c r="AB225" s="31">
        <f>IF(AQ225="1",BH225,0)</f>
        <v>0</v>
      </c>
      <c r="AC225" s="31">
        <f>IF(AQ225="1",BI225,0)</f>
        <v>0</v>
      </c>
      <c r="AD225" s="31">
        <f>IF(AQ225="7",BH225,0)</f>
        <v>0</v>
      </c>
      <c r="AE225" s="31">
        <f>IF(AQ225="7",BI225,0)</f>
        <v>0</v>
      </c>
      <c r="AF225" s="31">
        <f>IF(AQ225="2",BH225,0)</f>
        <v>0</v>
      </c>
      <c r="AG225" s="31">
        <f>IF(AQ225="2",BI225,0)</f>
        <v>0</v>
      </c>
      <c r="AH225" s="31">
        <f>IF(AQ225="0",BJ225,0)</f>
        <v>0</v>
      </c>
      <c r="AI225" s="25"/>
      <c r="AJ225" s="17">
        <f>IF(AN225=0,J225,0)</f>
        <v>0</v>
      </c>
      <c r="AK225" s="17">
        <f>IF(AN225=15,J225,0)</f>
        <v>0</v>
      </c>
      <c r="AL225" s="17">
        <f>IF(AN225=21,J225,0)</f>
        <v>0</v>
      </c>
      <c r="AN225" s="31">
        <v>21</v>
      </c>
      <c r="AO225" s="31">
        <f>G225*0.363632093933464</f>
        <v>0</v>
      </c>
      <c r="AP225" s="31">
        <f>G225*(1-0.363632093933464)</f>
        <v>0</v>
      </c>
      <c r="AQ225" s="28" t="s">
        <v>6</v>
      </c>
      <c r="AV225" s="31">
        <f>AW225+AX225</f>
        <v>0</v>
      </c>
      <c r="AW225" s="31">
        <f>F225*AO225</f>
        <v>0</v>
      </c>
      <c r="AX225" s="31">
        <f>F225*AP225</f>
        <v>0</v>
      </c>
      <c r="AY225" s="32" t="s">
        <v>477</v>
      </c>
      <c r="AZ225" s="32" t="s">
        <v>481</v>
      </c>
      <c r="BA225" s="25" t="s">
        <v>482</v>
      </c>
      <c r="BC225" s="31">
        <f>AW225+AX225</f>
        <v>0</v>
      </c>
      <c r="BD225" s="31">
        <f>G225/(100-BE225)*100</f>
        <v>0</v>
      </c>
      <c r="BE225" s="31">
        <v>0</v>
      </c>
      <c r="BF225" s="31">
        <f>L225</f>
        <v>5.7400000000000007E-2</v>
      </c>
      <c r="BH225" s="17">
        <f>F225*AO225</f>
        <v>0</v>
      </c>
      <c r="BI225" s="17">
        <f>F225*AP225</f>
        <v>0</v>
      </c>
      <c r="BJ225" s="17">
        <f>F225*G225</f>
        <v>0</v>
      </c>
    </row>
    <row r="226" spans="1:62">
      <c r="D226" s="14" t="s">
        <v>410</v>
      </c>
    </row>
    <row r="227" spans="1:62">
      <c r="A227" s="61"/>
      <c r="B227" s="61"/>
      <c r="C227" s="61"/>
      <c r="D227" s="69" t="s">
        <v>411</v>
      </c>
      <c r="E227" s="61"/>
      <c r="F227" s="62">
        <v>20</v>
      </c>
      <c r="G227" s="61"/>
      <c r="H227" s="61"/>
      <c r="I227" s="61"/>
      <c r="J227" s="61"/>
      <c r="K227" s="61"/>
      <c r="L227" s="61"/>
      <c r="M227" s="61"/>
    </row>
    <row r="228" spans="1:62">
      <c r="A228" s="15" t="s">
        <v>99</v>
      </c>
      <c r="B228" s="15"/>
      <c r="C228" s="15" t="s">
        <v>208</v>
      </c>
      <c r="D228" s="68" t="s">
        <v>412</v>
      </c>
      <c r="E228" s="15" t="s">
        <v>437</v>
      </c>
      <c r="F228" s="31">
        <v>17.5</v>
      </c>
      <c r="G228" s="31">
        <v>0</v>
      </c>
      <c r="H228" s="31">
        <f>F228*AO228</f>
        <v>0</v>
      </c>
      <c r="I228" s="31">
        <f>F228*AP228</f>
        <v>0</v>
      </c>
      <c r="J228" s="31">
        <f>F228*G228</f>
        <v>0</v>
      </c>
      <c r="K228" s="31">
        <v>2.8700000000000002E-3</v>
      </c>
      <c r="L228" s="31">
        <f>F228*K228</f>
        <v>5.0225000000000006E-2</v>
      </c>
      <c r="M228" s="32" t="s">
        <v>462</v>
      </c>
      <c r="Z228" s="31">
        <f>IF(AQ228="5",BJ228,0)</f>
        <v>0</v>
      </c>
      <c r="AB228" s="31">
        <f>IF(AQ228="1",BH228,0)</f>
        <v>0</v>
      </c>
      <c r="AC228" s="31">
        <f>IF(AQ228="1",BI228,0)</f>
        <v>0</v>
      </c>
      <c r="AD228" s="31">
        <f>IF(AQ228="7",BH228,0)</f>
        <v>0</v>
      </c>
      <c r="AE228" s="31">
        <f>IF(AQ228="7",BI228,0)</f>
        <v>0</v>
      </c>
      <c r="AF228" s="31">
        <f>IF(AQ228="2",BH228,0)</f>
        <v>0</v>
      </c>
      <c r="AG228" s="31">
        <f>IF(AQ228="2",BI228,0)</f>
        <v>0</v>
      </c>
      <c r="AH228" s="31">
        <f>IF(AQ228="0",BJ228,0)</f>
        <v>0</v>
      </c>
      <c r="AI228" s="25"/>
      <c r="AJ228" s="17">
        <f>IF(AN228=0,J228,0)</f>
        <v>0</v>
      </c>
      <c r="AK228" s="17">
        <f>IF(AN228=15,J228,0)</f>
        <v>0</v>
      </c>
      <c r="AL228" s="17">
        <f>IF(AN228=21,J228,0)</f>
        <v>0</v>
      </c>
      <c r="AN228" s="31">
        <v>21</v>
      </c>
      <c r="AO228" s="31">
        <f>G228*0.3388</f>
        <v>0</v>
      </c>
      <c r="AP228" s="31">
        <f>G228*(1-0.3388)</f>
        <v>0</v>
      </c>
      <c r="AQ228" s="28" t="s">
        <v>6</v>
      </c>
      <c r="AV228" s="31">
        <f>AW228+AX228</f>
        <v>0</v>
      </c>
      <c r="AW228" s="31">
        <f>F228*AO228</f>
        <v>0</v>
      </c>
      <c r="AX228" s="31">
        <f>F228*AP228</f>
        <v>0</v>
      </c>
      <c r="AY228" s="32" t="s">
        <v>477</v>
      </c>
      <c r="AZ228" s="32" t="s">
        <v>481</v>
      </c>
      <c r="BA228" s="25" t="s">
        <v>482</v>
      </c>
      <c r="BC228" s="31">
        <f>AW228+AX228</f>
        <v>0</v>
      </c>
      <c r="BD228" s="31">
        <f>G228/(100-BE228)*100</f>
        <v>0</v>
      </c>
      <c r="BE228" s="31">
        <v>0</v>
      </c>
      <c r="BF228" s="31">
        <f>L228</f>
        <v>5.0225000000000006E-2</v>
      </c>
      <c r="BH228" s="17">
        <f>F228*AO228</f>
        <v>0</v>
      </c>
      <c r="BI228" s="17">
        <f>F228*AP228</f>
        <v>0</v>
      </c>
      <c r="BJ228" s="17">
        <f>F228*G228</f>
        <v>0</v>
      </c>
    </row>
    <row r="229" spans="1:62">
      <c r="D229" s="14" t="s">
        <v>410</v>
      </c>
    </row>
    <row r="230" spans="1:62">
      <c r="A230" s="61"/>
      <c r="B230" s="61"/>
      <c r="C230" s="61"/>
      <c r="D230" s="69" t="s">
        <v>413</v>
      </c>
      <c r="E230" s="61"/>
      <c r="F230" s="62">
        <v>17.5</v>
      </c>
      <c r="G230" s="61"/>
      <c r="H230" s="61"/>
      <c r="I230" s="61"/>
      <c r="J230" s="61"/>
      <c r="K230" s="61"/>
      <c r="L230" s="61"/>
      <c r="M230" s="61"/>
    </row>
    <row r="231" spans="1:62">
      <c r="A231" s="4" t="s">
        <v>100</v>
      </c>
      <c r="B231" s="4"/>
      <c r="C231" s="4" t="s">
        <v>209</v>
      </c>
      <c r="D231" s="65" t="s">
        <v>414</v>
      </c>
      <c r="E231" s="4" t="s">
        <v>437</v>
      </c>
      <c r="F231" s="17">
        <v>50</v>
      </c>
      <c r="G231" s="17">
        <v>0</v>
      </c>
      <c r="H231" s="17">
        <f>F231*AO231</f>
        <v>0</v>
      </c>
      <c r="I231" s="17">
        <f>F231*AP231</f>
        <v>0</v>
      </c>
      <c r="J231" s="17">
        <f>F231*G231</f>
        <v>0</v>
      </c>
      <c r="K231" s="17">
        <v>4.0489999999999998E-2</v>
      </c>
      <c r="L231" s="17">
        <f>F231*K231</f>
        <v>2.0244999999999997</v>
      </c>
      <c r="M231" s="28" t="s">
        <v>462</v>
      </c>
      <c r="Z231" s="31">
        <f>IF(AQ231="5",BJ231,0)</f>
        <v>0</v>
      </c>
      <c r="AB231" s="31">
        <f>IF(AQ231="1",BH231,0)</f>
        <v>0</v>
      </c>
      <c r="AC231" s="31">
        <f>IF(AQ231="1",BI231,0)</f>
        <v>0</v>
      </c>
      <c r="AD231" s="31">
        <f>IF(AQ231="7",BH231,0)</f>
        <v>0</v>
      </c>
      <c r="AE231" s="31">
        <f>IF(AQ231="7",BI231,0)</f>
        <v>0</v>
      </c>
      <c r="AF231" s="31">
        <f>IF(AQ231="2",BH231,0)</f>
        <v>0</v>
      </c>
      <c r="AG231" s="31">
        <f>IF(AQ231="2",BI231,0)</f>
        <v>0</v>
      </c>
      <c r="AH231" s="31">
        <f>IF(AQ231="0",BJ231,0)</f>
        <v>0</v>
      </c>
      <c r="AI231" s="25"/>
      <c r="AJ231" s="17">
        <f>IF(AN231=0,J231,0)</f>
        <v>0</v>
      </c>
      <c r="AK231" s="17">
        <f>IF(AN231=15,J231,0)</f>
        <v>0</v>
      </c>
      <c r="AL231" s="17">
        <f>IF(AN231=21,J231,0)</f>
        <v>0</v>
      </c>
      <c r="AN231" s="31">
        <v>21</v>
      </c>
      <c r="AO231" s="31">
        <f>G231*0.0489177489177489</f>
        <v>0</v>
      </c>
      <c r="AP231" s="31">
        <f>G231*(1-0.0489177489177489)</f>
        <v>0</v>
      </c>
      <c r="AQ231" s="28" t="s">
        <v>6</v>
      </c>
      <c r="AV231" s="31">
        <f>AW231+AX231</f>
        <v>0</v>
      </c>
      <c r="AW231" s="31">
        <f>F231*AO231</f>
        <v>0</v>
      </c>
      <c r="AX231" s="31">
        <f>F231*AP231</f>
        <v>0</v>
      </c>
      <c r="AY231" s="32" t="s">
        <v>477</v>
      </c>
      <c r="AZ231" s="32" t="s">
        <v>481</v>
      </c>
      <c r="BA231" s="25" t="s">
        <v>482</v>
      </c>
      <c r="BC231" s="31">
        <f>AW231+AX231</f>
        <v>0</v>
      </c>
      <c r="BD231" s="31">
        <f>G231/(100-BE231)*100</f>
        <v>0</v>
      </c>
      <c r="BE231" s="31">
        <v>0</v>
      </c>
      <c r="BF231" s="31">
        <f>L231</f>
        <v>2.0244999999999997</v>
      </c>
      <c r="BH231" s="17">
        <f>F231*AO231</f>
        <v>0</v>
      </c>
      <c r="BI231" s="17">
        <f>F231*AP231</f>
        <v>0</v>
      </c>
      <c r="BJ231" s="17">
        <f>F231*G231</f>
        <v>0</v>
      </c>
    </row>
    <row r="232" spans="1:62">
      <c r="D232" s="66" t="s">
        <v>415</v>
      </c>
      <c r="F232" s="18">
        <v>50</v>
      </c>
    </row>
    <row r="233" spans="1:62">
      <c r="A233" s="15" t="s">
        <v>101</v>
      </c>
      <c r="B233" s="15"/>
      <c r="C233" s="15" t="s">
        <v>210</v>
      </c>
      <c r="D233" s="68" t="s">
        <v>416</v>
      </c>
      <c r="E233" s="15" t="s">
        <v>437</v>
      </c>
      <c r="F233" s="31">
        <v>12</v>
      </c>
      <c r="G233" s="31">
        <v>0</v>
      </c>
      <c r="H233" s="31">
        <f>F233*AO233</f>
        <v>0</v>
      </c>
      <c r="I233" s="31">
        <f>F233*AP233</f>
        <v>0</v>
      </c>
      <c r="J233" s="31">
        <f>F233*G233</f>
        <v>0</v>
      </c>
      <c r="K233" s="31">
        <v>8.1490000000000007E-2</v>
      </c>
      <c r="L233" s="31">
        <f>F233*K233</f>
        <v>0.97788000000000008</v>
      </c>
      <c r="M233" s="32" t="s">
        <v>462</v>
      </c>
      <c r="Z233" s="31">
        <f>IF(AQ233="5",BJ233,0)</f>
        <v>0</v>
      </c>
      <c r="AB233" s="31">
        <f>IF(AQ233="1",BH233,0)</f>
        <v>0</v>
      </c>
      <c r="AC233" s="31">
        <f>IF(AQ233="1",BI233,0)</f>
        <v>0</v>
      </c>
      <c r="AD233" s="31">
        <f>IF(AQ233="7",BH233,0)</f>
        <v>0</v>
      </c>
      <c r="AE233" s="31">
        <f>IF(AQ233="7",BI233,0)</f>
        <v>0</v>
      </c>
      <c r="AF233" s="31">
        <f>IF(AQ233="2",BH233,0)</f>
        <v>0</v>
      </c>
      <c r="AG233" s="31">
        <f>IF(AQ233="2",BI233,0)</f>
        <v>0</v>
      </c>
      <c r="AH233" s="31">
        <f>IF(AQ233="0",BJ233,0)</f>
        <v>0</v>
      </c>
      <c r="AI233" s="25"/>
      <c r="AJ233" s="17">
        <f>IF(AN233=0,J233,0)</f>
        <v>0</v>
      </c>
      <c r="AK233" s="17">
        <f>IF(AN233=15,J233,0)</f>
        <v>0</v>
      </c>
      <c r="AL233" s="17">
        <f>IF(AN233=21,J233,0)</f>
        <v>0</v>
      </c>
      <c r="AN233" s="31">
        <v>21</v>
      </c>
      <c r="AO233" s="31">
        <f>G233*0.0406460199273408</f>
        <v>0</v>
      </c>
      <c r="AP233" s="31">
        <f>G233*(1-0.0406460199273408)</f>
        <v>0</v>
      </c>
      <c r="AQ233" s="28" t="s">
        <v>6</v>
      </c>
      <c r="AV233" s="31">
        <f>AW233+AX233</f>
        <v>0</v>
      </c>
      <c r="AW233" s="31">
        <f>F233*AO233</f>
        <v>0</v>
      </c>
      <c r="AX233" s="31">
        <f>F233*AP233</f>
        <v>0</v>
      </c>
      <c r="AY233" s="32" t="s">
        <v>477</v>
      </c>
      <c r="AZ233" s="32" t="s">
        <v>481</v>
      </c>
      <c r="BA233" s="25" t="s">
        <v>482</v>
      </c>
      <c r="BC233" s="31">
        <f>AW233+AX233</f>
        <v>0</v>
      </c>
      <c r="BD233" s="31">
        <f>G233/(100-BE233)*100</f>
        <v>0</v>
      </c>
      <c r="BE233" s="31">
        <v>0</v>
      </c>
      <c r="BF233" s="31">
        <f>L233</f>
        <v>0.97788000000000008</v>
      </c>
      <c r="BH233" s="17">
        <f>F233*AO233</f>
        <v>0</v>
      </c>
      <c r="BI233" s="17">
        <f>F233*AP233</f>
        <v>0</v>
      </c>
      <c r="BJ233" s="17">
        <f>F233*G233</f>
        <v>0</v>
      </c>
    </row>
    <row r="234" spans="1:62">
      <c r="A234" s="61"/>
      <c r="B234" s="61"/>
      <c r="C234" s="61"/>
      <c r="D234" s="69" t="s">
        <v>417</v>
      </c>
      <c r="E234" s="61"/>
      <c r="F234" s="62">
        <v>12</v>
      </c>
      <c r="G234" s="61"/>
      <c r="H234" s="61"/>
      <c r="I234" s="61"/>
      <c r="J234" s="61"/>
      <c r="K234" s="61"/>
      <c r="L234" s="61"/>
      <c r="M234" s="61"/>
    </row>
    <row r="235" spans="1:62">
      <c r="A235" s="5"/>
      <c r="B235" s="12"/>
      <c r="C235" s="12" t="s">
        <v>211</v>
      </c>
      <c r="D235" s="67" t="s">
        <v>418</v>
      </c>
      <c r="E235" s="5" t="s">
        <v>5</v>
      </c>
      <c r="F235" s="5" t="s">
        <v>5</v>
      </c>
      <c r="G235" s="5" t="s">
        <v>5</v>
      </c>
      <c r="H235" s="34">
        <f>SUM(H236:H246)</f>
        <v>0</v>
      </c>
      <c r="I235" s="34">
        <f>SUM(I236:I246)</f>
        <v>0</v>
      </c>
      <c r="J235" s="34">
        <f>SUM(J236:J246)</f>
        <v>0</v>
      </c>
      <c r="K235" s="25"/>
      <c r="L235" s="34">
        <f>SUM(L236:L246)</f>
        <v>0</v>
      </c>
      <c r="M235" s="25"/>
      <c r="AI235" s="25"/>
      <c r="AS235" s="34">
        <f>SUM(AJ236:AJ246)</f>
        <v>0</v>
      </c>
      <c r="AT235" s="34">
        <f>SUM(AK236:AK246)</f>
        <v>0</v>
      </c>
      <c r="AU235" s="34">
        <f>SUM(AL236:AL246)</f>
        <v>0</v>
      </c>
    </row>
    <row r="236" spans="1:62">
      <c r="A236" s="15" t="s">
        <v>102</v>
      </c>
      <c r="B236" s="15"/>
      <c r="C236" s="15" t="s">
        <v>212</v>
      </c>
      <c r="D236" s="68" t="s">
        <v>419</v>
      </c>
      <c r="E236" s="15" t="s">
        <v>439</v>
      </c>
      <c r="F236" s="31">
        <v>7.78</v>
      </c>
      <c r="G236" s="31">
        <v>0</v>
      </c>
      <c r="H236" s="31">
        <f>F236*AO236</f>
        <v>0</v>
      </c>
      <c r="I236" s="31">
        <f>F236*AP236</f>
        <v>0</v>
      </c>
      <c r="J236" s="31">
        <f>F236*G236</f>
        <v>0</v>
      </c>
      <c r="K236" s="31">
        <v>0</v>
      </c>
      <c r="L236" s="31">
        <f>F236*K236</f>
        <v>0</v>
      </c>
      <c r="M236" s="32" t="s">
        <v>462</v>
      </c>
      <c r="Z236" s="31">
        <f>IF(AQ236="5",BJ236,0)</f>
        <v>0</v>
      </c>
      <c r="AB236" s="31">
        <f>IF(AQ236="1",BH236,0)</f>
        <v>0</v>
      </c>
      <c r="AC236" s="31">
        <f>IF(AQ236="1",BI236,0)</f>
        <v>0</v>
      </c>
      <c r="AD236" s="31">
        <f>IF(AQ236="7",BH236,0)</f>
        <v>0</v>
      </c>
      <c r="AE236" s="31">
        <f>IF(AQ236="7",BI236,0)</f>
        <v>0</v>
      </c>
      <c r="AF236" s="31">
        <f>IF(AQ236="2",BH236,0)</f>
        <v>0</v>
      </c>
      <c r="AG236" s="31">
        <f>IF(AQ236="2",BI236,0)</f>
        <v>0</v>
      </c>
      <c r="AH236" s="31">
        <f>IF(AQ236="0",BJ236,0)</f>
        <v>0</v>
      </c>
      <c r="AI236" s="25"/>
      <c r="AJ236" s="17">
        <f>IF(AN236=0,J236,0)</f>
        <v>0</v>
      </c>
      <c r="AK236" s="17">
        <f>IF(AN236=15,J236,0)</f>
        <v>0</v>
      </c>
      <c r="AL236" s="17">
        <f>IF(AN236=21,J236,0)</f>
        <v>0</v>
      </c>
      <c r="AN236" s="31">
        <v>21</v>
      </c>
      <c r="AO236" s="31">
        <f>G236*0</f>
        <v>0</v>
      </c>
      <c r="AP236" s="31">
        <f>G236*(1-0)</f>
        <v>0</v>
      </c>
      <c r="AQ236" s="28" t="s">
        <v>10</v>
      </c>
      <c r="AV236" s="31">
        <f>AW236+AX236</f>
        <v>0</v>
      </c>
      <c r="AW236" s="31">
        <f>F236*AO236</f>
        <v>0</v>
      </c>
      <c r="AX236" s="31">
        <f>F236*AP236</f>
        <v>0</v>
      </c>
      <c r="AY236" s="32" t="s">
        <v>478</v>
      </c>
      <c r="AZ236" s="32" t="s">
        <v>481</v>
      </c>
      <c r="BA236" s="25" t="s">
        <v>482</v>
      </c>
      <c r="BC236" s="31">
        <f>AW236+AX236</f>
        <v>0</v>
      </c>
      <c r="BD236" s="31">
        <f>G236/(100-BE236)*100</f>
        <v>0</v>
      </c>
      <c r="BE236" s="31">
        <v>0</v>
      </c>
      <c r="BF236" s="31">
        <f>L236</f>
        <v>0</v>
      </c>
      <c r="BH236" s="17">
        <f>F236*AO236</f>
        <v>0</v>
      </c>
      <c r="BI236" s="17">
        <f>F236*AP236</f>
        <v>0</v>
      </c>
      <c r="BJ236" s="17">
        <f>F236*G236</f>
        <v>0</v>
      </c>
    </row>
    <row r="237" spans="1:62">
      <c r="A237" s="61"/>
      <c r="B237" s="61"/>
      <c r="C237" s="61"/>
      <c r="D237" s="69" t="s">
        <v>420</v>
      </c>
      <c r="E237" s="61"/>
      <c r="F237" s="62">
        <v>7.78</v>
      </c>
      <c r="G237" s="61"/>
      <c r="H237" s="61"/>
      <c r="I237" s="61"/>
      <c r="J237" s="61"/>
      <c r="K237" s="61"/>
      <c r="L237" s="61"/>
      <c r="M237" s="61"/>
    </row>
    <row r="238" spans="1:62">
      <c r="A238" s="15" t="s">
        <v>103</v>
      </c>
      <c r="B238" s="15"/>
      <c r="C238" s="15" t="s">
        <v>213</v>
      </c>
      <c r="D238" s="68" t="s">
        <v>421</v>
      </c>
      <c r="E238" s="15" t="s">
        <v>439</v>
      </c>
      <c r="F238" s="31">
        <v>147.82</v>
      </c>
      <c r="G238" s="31">
        <v>0</v>
      </c>
      <c r="H238" s="31">
        <f>F238*AO238</f>
        <v>0</v>
      </c>
      <c r="I238" s="31">
        <f>F238*AP238</f>
        <v>0</v>
      </c>
      <c r="J238" s="31">
        <f>F238*G238</f>
        <v>0</v>
      </c>
      <c r="K238" s="31">
        <v>0</v>
      </c>
      <c r="L238" s="31">
        <f>F238*K238</f>
        <v>0</v>
      </c>
      <c r="M238" s="32" t="s">
        <v>462</v>
      </c>
      <c r="Z238" s="31">
        <f>IF(AQ238="5",BJ238,0)</f>
        <v>0</v>
      </c>
      <c r="AB238" s="31">
        <f>IF(AQ238="1",BH238,0)</f>
        <v>0</v>
      </c>
      <c r="AC238" s="31">
        <f>IF(AQ238="1",BI238,0)</f>
        <v>0</v>
      </c>
      <c r="AD238" s="31">
        <f>IF(AQ238="7",BH238,0)</f>
        <v>0</v>
      </c>
      <c r="AE238" s="31">
        <f>IF(AQ238="7",BI238,0)</f>
        <v>0</v>
      </c>
      <c r="AF238" s="31">
        <f>IF(AQ238="2",BH238,0)</f>
        <v>0</v>
      </c>
      <c r="AG238" s="31">
        <f>IF(AQ238="2",BI238,0)</f>
        <v>0</v>
      </c>
      <c r="AH238" s="31">
        <f>IF(AQ238="0",BJ238,0)</f>
        <v>0</v>
      </c>
      <c r="AI238" s="25"/>
      <c r="AJ238" s="17">
        <f>IF(AN238=0,J238,0)</f>
        <v>0</v>
      </c>
      <c r="AK238" s="17">
        <f>IF(AN238=15,J238,0)</f>
        <v>0</v>
      </c>
      <c r="AL238" s="17">
        <f>IF(AN238=21,J238,0)</f>
        <v>0</v>
      </c>
      <c r="AN238" s="31">
        <v>21</v>
      </c>
      <c r="AO238" s="31">
        <f>G238*0</f>
        <v>0</v>
      </c>
      <c r="AP238" s="31">
        <f>G238*(1-0)</f>
        <v>0</v>
      </c>
      <c r="AQ238" s="28" t="s">
        <v>10</v>
      </c>
      <c r="AV238" s="31">
        <f>AW238+AX238</f>
        <v>0</v>
      </c>
      <c r="AW238" s="31">
        <f>F238*AO238</f>
        <v>0</v>
      </c>
      <c r="AX238" s="31">
        <f>F238*AP238</f>
        <v>0</v>
      </c>
      <c r="AY238" s="32" t="s">
        <v>478</v>
      </c>
      <c r="AZ238" s="32" t="s">
        <v>481</v>
      </c>
      <c r="BA238" s="25" t="s">
        <v>482</v>
      </c>
      <c r="BC238" s="31">
        <f>AW238+AX238</f>
        <v>0</v>
      </c>
      <c r="BD238" s="31">
        <f>G238/(100-BE238)*100</f>
        <v>0</v>
      </c>
      <c r="BE238" s="31">
        <v>0</v>
      </c>
      <c r="BF238" s="31">
        <f>L238</f>
        <v>0</v>
      </c>
      <c r="BH238" s="17">
        <f>F238*AO238</f>
        <v>0</v>
      </c>
      <c r="BI238" s="17">
        <f>F238*AP238</f>
        <v>0</v>
      </c>
      <c r="BJ238" s="17">
        <f>F238*G238</f>
        <v>0</v>
      </c>
    </row>
    <row r="239" spans="1:62">
      <c r="A239" s="61"/>
      <c r="B239" s="61"/>
      <c r="C239" s="61"/>
      <c r="D239" s="69" t="s">
        <v>422</v>
      </c>
      <c r="E239" s="61"/>
      <c r="F239" s="62">
        <v>147.82</v>
      </c>
      <c r="G239" s="61"/>
      <c r="H239" s="61"/>
      <c r="I239" s="61"/>
      <c r="J239" s="61"/>
      <c r="K239" s="61"/>
      <c r="L239" s="61"/>
      <c r="M239" s="61"/>
    </row>
    <row r="240" spans="1:62">
      <c r="A240" s="15" t="s">
        <v>104</v>
      </c>
      <c r="B240" s="15"/>
      <c r="C240" s="15" t="s">
        <v>214</v>
      </c>
      <c r="D240" s="68" t="s">
        <v>423</v>
      </c>
      <c r="E240" s="15" t="s">
        <v>439</v>
      </c>
      <c r="F240" s="31">
        <v>7.78</v>
      </c>
      <c r="G240" s="31">
        <v>0</v>
      </c>
      <c r="H240" s="31">
        <f>F240*AO240</f>
        <v>0</v>
      </c>
      <c r="I240" s="31">
        <f>F240*AP240</f>
        <v>0</v>
      </c>
      <c r="J240" s="31">
        <f>F240*G240</f>
        <v>0</v>
      </c>
      <c r="K240" s="31">
        <v>0</v>
      </c>
      <c r="L240" s="31">
        <f>F240*K240</f>
        <v>0</v>
      </c>
      <c r="M240" s="32" t="s">
        <v>462</v>
      </c>
      <c r="Z240" s="31">
        <f>IF(AQ240="5",BJ240,0)</f>
        <v>0</v>
      </c>
      <c r="AB240" s="31">
        <f>IF(AQ240="1",BH240,0)</f>
        <v>0</v>
      </c>
      <c r="AC240" s="31">
        <f>IF(AQ240="1",BI240,0)</f>
        <v>0</v>
      </c>
      <c r="AD240" s="31">
        <f>IF(AQ240="7",BH240,0)</f>
        <v>0</v>
      </c>
      <c r="AE240" s="31">
        <f>IF(AQ240="7",BI240,0)</f>
        <v>0</v>
      </c>
      <c r="AF240" s="31">
        <f>IF(AQ240="2",BH240,0)</f>
        <v>0</v>
      </c>
      <c r="AG240" s="31">
        <f>IF(AQ240="2",BI240,0)</f>
        <v>0</v>
      </c>
      <c r="AH240" s="31">
        <f>IF(AQ240="0",BJ240,0)</f>
        <v>0</v>
      </c>
      <c r="AI240" s="25"/>
      <c r="AJ240" s="17">
        <f>IF(AN240=0,J240,0)</f>
        <v>0</v>
      </c>
      <c r="AK240" s="17">
        <f>IF(AN240=15,J240,0)</f>
        <v>0</v>
      </c>
      <c r="AL240" s="17">
        <f>IF(AN240=21,J240,0)</f>
        <v>0</v>
      </c>
      <c r="AN240" s="31">
        <v>21</v>
      </c>
      <c r="AO240" s="31">
        <f>G240*0</f>
        <v>0</v>
      </c>
      <c r="AP240" s="31">
        <f>G240*(1-0)</f>
        <v>0</v>
      </c>
      <c r="AQ240" s="28" t="s">
        <v>10</v>
      </c>
      <c r="AV240" s="31">
        <f>AW240+AX240</f>
        <v>0</v>
      </c>
      <c r="AW240" s="31">
        <f>F240*AO240</f>
        <v>0</v>
      </c>
      <c r="AX240" s="31">
        <f>F240*AP240</f>
        <v>0</v>
      </c>
      <c r="AY240" s="32" t="s">
        <v>478</v>
      </c>
      <c r="AZ240" s="32" t="s">
        <v>481</v>
      </c>
      <c r="BA240" s="25" t="s">
        <v>482</v>
      </c>
      <c r="BC240" s="31">
        <f>AW240+AX240</f>
        <v>0</v>
      </c>
      <c r="BD240" s="31">
        <f>G240/(100-BE240)*100</f>
        <v>0</v>
      </c>
      <c r="BE240" s="31">
        <v>0</v>
      </c>
      <c r="BF240" s="31">
        <f>L240</f>
        <v>0</v>
      </c>
      <c r="BH240" s="17">
        <f>F240*AO240</f>
        <v>0</v>
      </c>
      <c r="BI240" s="17">
        <f>F240*AP240</f>
        <v>0</v>
      </c>
      <c r="BJ240" s="17">
        <f>F240*G240</f>
        <v>0</v>
      </c>
    </row>
    <row r="241" spans="1:62">
      <c r="A241" s="61"/>
      <c r="B241" s="61"/>
      <c r="C241" s="61"/>
      <c r="D241" s="69" t="s">
        <v>424</v>
      </c>
      <c r="E241" s="61"/>
      <c r="F241" s="62">
        <v>7.78</v>
      </c>
      <c r="G241" s="61"/>
      <c r="H241" s="61"/>
      <c r="I241" s="61"/>
      <c r="J241" s="61"/>
      <c r="K241" s="61"/>
      <c r="L241" s="61"/>
      <c r="M241" s="61"/>
    </row>
    <row r="242" spans="1:62">
      <c r="A242" s="15" t="s">
        <v>105</v>
      </c>
      <c r="B242" s="15"/>
      <c r="C242" s="15" t="s">
        <v>215</v>
      </c>
      <c r="D242" s="68" t="s">
        <v>425</v>
      </c>
      <c r="E242" s="15" t="s">
        <v>439</v>
      </c>
      <c r="F242" s="31">
        <v>38.9</v>
      </c>
      <c r="G242" s="31">
        <v>0</v>
      </c>
      <c r="H242" s="31">
        <f>F242*AO242</f>
        <v>0</v>
      </c>
      <c r="I242" s="31">
        <f>F242*AP242</f>
        <v>0</v>
      </c>
      <c r="J242" s="31">
        <f>F242*G242</f>
        <v>0</v>
      </c>
      <c r="K242" s="31">
        <v>0</v>
      </c>
      <c r="L242" s="31">
        <f>F242*K242</f>
        <v>0</v>
      </c>
      <c r="M242" s="32" t="s">
        <v>462</v>
      </c>
      <c r="Z242" s="31">
        <f>IF(AQ242="5",BJ242,0)</f>
        <v>0</v>
      </c>
      <c r="AB242" s="31">
        <f>IF(AQ242="1",BH242,0)</f>
        <v>0</v>
      </c>
      <c r="AC242" s="31">
        <f>IF(AQ242="1",BI242,0)</f>
        <v>0</v>
      </c>
      <c r="AD242" s="31">
        <f>IF(AQ242="7",BH242,0)</f>
        <v>0</v>
      </c>
      <c r="AE242" s="31">
        <f>IF(AQ242="7",BI242,0)</f>
        <v>0</v>
      </c>
      <c r="AF242" s="31">
        <f>IF(AQ242="2",BH242,0)</f>
        <v>0</v>
      </c>
      <c r="AG242" s="31">
        <f>IF(AQ242="2",BI242,0)</f>
        <v>0</v>
      </c>
      <c r="AH242" s="31">
        <f>IF(AQ242="0",BJ242,0)</f>
        <v>0</v>
      </c>
      <c r="AI242" s="25"/>
      <c r="AJ242" s="17">
        <f>IF(AN242=0,J242,0)</f>
        <v>0</v>
      </c>
      <c r="AK242" s="17">
        <f>IF(AN242=15,J242,0)</f>
        <v>0</v>
      </c>
      <c r="AL242" s="17">
        <f>IF(AN242=21,J242,0)</f>
        <v>0</v>
      </c>
      <c r="AN242" s="31">
        <v>21</v>
      </c>
      <c r="AO242" s="31">
        <f>G242*0</f>
        <v>0</v>
      </c>
      <c r="AP242" s="31">
        <f>G242*(1-0)</f>
        <v>0</v>
      </c>
      <c r="AQ242" s="28" t="s">
        <v>10</v>
      </c>
      <c r="AV242" s="31">
        <f>AW242+AX242</f>
        <v>0</v>
      </c>
      <c r="AW242" s="31">
        <f>F242*AO242</f>
        <v>0</v>
      </c>
      <c r="AX242" s="31">
        <f>F242*AP242</f>
        <v>0</v>
      </c>
      <c r="AY242" s="32" t="s">
        <v>478</v>
      </c>
      <c r="AZ242" s="32" t="s">
        <v>481</v>
      </c>
      <c r="BA242" s="25" t="s">
        <v>482</v>
      </c>
      <c r="BC242" s="31">
        <f>AW242+AX242</f>
        <v>0</v>
      </c>
      <c r="BD242" s="31">
        <f>G242/(100-BE242)*100</f>
        <v>0</v>
      </c>
      <c r="BE242" s="31">
        <v>0</v>
      </c>
      <c r="BF242" s="31">
        <f>L242</f>
        <v>0</v>
      </c>
      <c r="BH242" s="17">
        <f>F242*AO242</f>
        <v>0</v>
      </c>
      <c r="BI242" s="17">
        <f>F242*AP242</f>
        <v>0</v>
      </c>
      <c r="BJ242" s="17">
        <f>F242*G242</f>
        <v>0</v>
      </c>
    </row>
    <row r="243" spans="1:62">
      <c r="A243" s="61"/>
      <c r="B243" s="61"/>
      <c r="C243" s="61"/>
      <c r="D243" s="69" t="s">
        <v>426</v>
      </c>
      <c r="E243" s="61"/>
      <c r="F243" s="62">
        <v>38.9</v>
      </c>
      <c r="G243" s="61"/>
      <c r="H243" s="61"/>
      <c r="I243" s="61"/>
      <c r="J243" s="61"/>
      <c r="K243" s="61"/>
      <c r="L243" s="61"/>
      <c r="M243" s="61"/>
    </row>
    <row r="244" spans="1:62">
      <c r="A244" s="15" t="s">
        <v>106</v>
      </c>
      <c r="B244" s="15"/>
      <c r="C244" s="15" t="s">
        <v>216</v>
      </c>
      <c r="D244" s="68" t="s">
        <v>427</v>
      </c>
      <c r="E244" s="15" t="s">
        <v>439</v>
      </c>
      <c r="F244" s="31">
        <v>7.78</v>
      </c>
      <c r="G244" s="31">
        <v>0</v>
      </c>
      <c r="H244" s="31">
        <f>F244*AO244</f>
        <v>0</v>
      </c>
      <c r="I244" s="31">
        <f>F244*AP244</f>
        <v>0</v>
      </c>
      <c r="J244" s="31">
        <f>F244*G244</f>
        <v>0</v>
      </c>
      <c r="K244" s="31">
        <v>0</v>
      </c>
      <c r="L244" s="31">
        <f>F244*K244</f>
        <v>0</v>
      </c>
      <c r="M244" s="32" t="s">
        <v>462</v>
      </c>
      <c r="Z244" s="31">
        <f>IF(AQ244="5",BJ244,0)</f>
        <v>0</v>
      </c>
      <c r="AB244" s="31">
        <f>IF(AQ244="1",BH244,0)</f>
        <v>0</v>
      </c>
      <c r="AC244" s="31">
        <f>IF(AQ244="1",BI244,0)</f>
        <v>0</v>
      </c>
      <c r="AD244" s="31">
        <f>IF(AQ244="7",BH244,0)</f>
        <v>0</v>
      </c>
      <c r="AE244" s="31">
        <f>IF(AQ244="7",BI244,0)</f>
        <v>0</v>
      </c>
      <c r="AF244" s="31">
        <f>IF(AQ244="2",BH244,0)</f>
        <v>0</v>
      </c>
      <c r="AG244" s="31">
        <f>IF(AQ244="2",BI244,0)</f>
        <v>0</v>
      </c>
      <c r="AH244" s="31">
        <f>IF(AQ244="0",BJ244,0)</f>
        <v>0</v>
      </c>
      <c r="AI244" s="25"/>
      <c r="AJ244" s="17">
        <f>IF(AN244=0,J244,0)</f>
        <v>0</v>
      </c>
      <c r="AK244" s="17">
        <f>IF(AN244=15,J244,0)</f>
        <v>0</v>
      </c>
      <c r="AL244" s="17">
        <f>IF(AN244=21,J244,0)</f>
        <v>0</v>
      </c>
      <c r="AN244" s="31">
        <v>21</v>
      </c>
      <c r="AO244" s="31">
        <f>G244*0</f>
        <v>0</v>
      </c>
      <c r="AP244" s="31">
        <f>G244*(1-0)</f>
        <v>0</v>
      </c>
      <c r="AQ244" s="28" t="s">
        <v>10</v>
      </c>
      <c r="AV244" s="31">
        <f>AW244+AX244</f>
        <v>0</v>
      </c>
      <c r="AW244" s="31">
        <f>F244*AO244</f>
        <v>0</v>
      </c>
      <c r="AX244" s="31">
        <f>F244*AP244</f>
        <v>0</v>
      </c>
      <c r="AY244" s="32" t="s">
        <v>478</v>
      </c>
      <c r="AZ244" s="32" t="s">
        <v>481</v>
      </c>
      <c r="BA244" s="25" t="s">
        <v>482</v>
      </c>
      <c r="BC244" s="31">
        <f>AW244+AX244</f>
        <v>0</v>
      </c>
      <c r="BD244" s="31">
        <f>G244/(100-BE244)*100</f>
        <v>0</v>
      </c>
      <c r="BE244" s="31">
        <v>0</v>
      </c>
      <c r="BF244" s="31">
        <f>L244</f>
        <v>0</v>
      </c>
      <c r="BH244" s="17">
        <f>F244*AO244</f>
        <v>0</v>
      </c>
      <c r="BI244" s="17">
        <f>F244*AP244</f>
        <v>0</v>
      </c>
      <c r="BJ244" s="17">
        <f>F244*G244</f>
        <v>0</v>
      </c>
    </row>
    <row r="245" spans="1:62">
      <c r="A245" s="61"/>
      <c r="B245" s="61"/>
      <c r="C245" s="61"/>
      <c r="D245" s="69" t="s">
        <v>424</v>
      </c>
      <c r="E245" s="61"/>
      <c r="F245" s="62">
        <v>7.78</v>
      </c>
      <c r="G245" s="61"/>
      <c r="H245" s="61"/>
      <c r="I245" s="61"/>
      <c r="J245" s="61"/>
      <c r="K245" s="61"/>
      <c r="L245" s="61"/>
      <c r="M245" s="61"/>
    </row>
    <row r="246" spans="1:62">
      <c r="A246" s="15" t="s">
        <v>107</v>
      </c>
      <c r="B246" s="15"/>
      <c r="C246" s="15" t="s">
        <v>217</v>
      </c>
      <c r="D246" s="68" t="s">
        <v>428</v>
      </c>
      <c r="E246" s="15" t="s">
        <v>439</v>
      </c>
      <c r="F246" s="31">
        <v>7.78</v>
      </c>
      <c r="G246" s="31">
        <v>0</v>
      </c>
      <c r="H246" s="31">
        <f>F246*AO246</f>
        <v>0</v>
      </c>
      <c r="I246" s="31">
        <f>F246*AP246</f>
        <v>0</v>
      </c>
      <c r="J246" s="31">
        <f>F246*G246</f>
        <v>0</v>
      </c>
      <c r="K246" s="31">
        <v>0</v>
      </c>
      <c r="L246" s="31">
        <f>F246*K246</f>
        <v>0</v>
      </c>
      <c r="M246" s="32" t="s">
        <v>462</v>
      </c>
      <c r="Z246" s="31">
        <f>IF(AQ246="5",BJ246,0)</f>
        <v>0</v>
      </c>
      <c r="AB246" s="31">
        <f>IF(AQ246="1",BH246,0)</f>
        <v>0</v>
      </c>
      <c r="AC246" s="31">
        <f>IF(AQ246="1",BI246,0)</f>
        <v>0</v>
      </c>
      <c r="AD246" s="31">
        <f>IF(AQ246="7",BH246,0)</f>
        <v>0</v>
      </c>
      <c r="AE246" s="31">
        <f>IF(AQ246="7",BI246,0)</f>
        <v>0</v>
      </c>
      <c r="AF246" s="31">
        <f>IF(AQ246="2",BH246,0)</f>
        <v>0</v>
      </c>
      <c r="AG246" s="31">
        <f>IF(AQ246="2",BI246,0)</f>
        <v>0</v>
      </c>
      <c r="AH246" s="31">
        <f>IF(AQ246="0",BJ246,0)</f>
        <v>0</v>
      </c>
      <c r="AI246" s="25"/>
      <c r="AJ246" s="17">
        <f>IF(AN246=0,J246,0)</f>
        <v>0</v>
      </c>
      <c r="AK246" s="17">
        <f>IF(AN246=15,J246,0)</f>
        <v>0</v>
      </c>
      <c r="AL246" s="17">
        <f>IF(AN246=21,J246,0)</f>
        <v>0</v>
      </c>
      <c r="AN246" s="31">
        <v>21</v>
      </c>
      <c r="AO246" s="31">
        <f>G246*0</f>
        <v>0</v>
      </c>
      <c r="AP246" s="31">
        <f>G246*(1-0)</f>
        <v>0</v>
      </c>
      <c r="AQ246" s="28" t="s">
        <v>10</v>
      </c>
      <c r="AV246" s="31">
        <f>AW246+AX246</f>
        <v>0</v>
      </c>
      <c r="AW246" s="31">
        <f>F246*AO246</f>
        <v>0</v>
      </c>
      <c r="AX246" s="31">
        <f>F246*AP246</f>
        <v>0</v>
      </c>
      <c r="AY246" s="32" t="s">
        <v>478</v>
      </c>
      <c r="AZ246" s="32" t="s">
        <v>481</v>
      </c>
      <c r="BA246" s="25" t="s">
        <v>482</v>
      </c>
      <c r="BC246" s="31">
        <f>AW246+AX246</f>
        <v>0</v>
      </c>
      <c r="BD246" s="31">
        <f>G246/(100-BE246)*100</f>
        <v>0</v>
      </c>
      <c r="BE246" s="31">
        <v>0</v>
      </c>
      <c r="BF246" s="31">
        <f>L246</f>
        <v>0</v>
      </c>
      <c r="BH246" s="17">
        <f>F246*AO246</f>
        <v>0</v>
      </c>
      <c r="BI246" s="17">
        <f>F246*AP246</f>
        <v>0</v>
      </c>
      <c r="BJ246" s="17">
        <f>F246*G246</f>
        <v>0</v>
      </c>
    </row>
    <row r="247" spans="1:62">
      <c r="A247" s="6"/>
      <c r="B247" s="6"/>
      <c r="C247" s="6"/>
      <c r="D247" s="70" t="s">
        <v>429</v>
      </c>
      <c r="E247" s="6"/>
      <c r="F247" s="63">
        <v>7.78</v>
      </c>
      <c r="G247" s="6"/>
      <c r="H247" s="6"/>
      <c r="I247" s="6"/>
      <c r="J247" s="6"/>
      <c r="K247" s="6"/>
      <c r="L247" s="6"/>
      <c r="M247" s="6"/>
    </row>
    <row r="248" spans="1:62">
      <c r="A248" s="7"/>
      <c r="B248" s="7"/>
      <c r="C248" s="7"/>
      <c r="D248" s="7"/>
      <c r="E248" s="7"/>
      <c r="F248" s="7"/>
      <c r="G248" s="7"/>
      <c r="H248" s="74" t="s">
        <v>454</v>
      </c>
      <c r="I248" s="75"/>
      <c r="J248" s="35">
        <f>ROUND(J12+J81+J168+J209+J216+J224+J235,0)</f>
        <v>0</v>
      </c>
      <c r="K248" s="7"/>
      <c r="L248" s="7"/>
      <c r="M248" s="7"/>
    </row>
    <row r="249" spans="1:62" ht="11.25" customHeight="1">
      <c r="A249" s="8" t="s">
        <v>108</v>
      </c>
    </row>
    <row r="250" spans="1:62">
      <c r="A250" s="76"/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</sheetData>
  <mergeCells count="29">
    <mergeCell ref="A1:M1"/>
    <mergeCell ref="A2:C3"/>
    <mergeCell ref="D2:D3"/>
    <mergeCell ref="E2:F3"/>
    <mergeCell ref="G2:G3"/>
    <mergeCell ref="H2:H3"/>
    <mergeCell ref="I2:M3"/>
    <mergeCell ref="A4:C5"/>
    <mergeCell ref="D4:D5"/>
    <mergeCell ref="E4:F5"/>
    <mergeCell ref="G4:G5"/>
    <mergeCell ref="H4:H5"/>
    <mergeCell ref="I4:M5"/>
    <mergeCell ref="A6:C7"/>
    <mergeCell ref="D6:D7"/>
    <mergeCell ref="E6:F7"/>
    <mergeCell ref="G6:G7"/>
    <mergeCell ref="H6:H7"/>
    <mergeCell ref="I6:M7"/>
    <mergeCell ref="H10:J10"/>
    <mergeCell ref="K10:L10"/>
    <mergeCell ref="H248:I248"/>
    <mergeCell ref="A250:M250"/>
    <mergeCell ref="A8:C9"/>
    <mergeCell ref="D8:D9"/>
    <mergeCell ref="E8:F9"/>
    <mergeCell ref="G8:G9"/>
    <mergeCell ref="H8:H9"/>
    <mergeCell ref="I8:M9"/>
  </mergeCells>
  <printOptions gridLines="1"/>
  <pageMargins left="0.39370078740157483" right="0.39370078740157483" top="0.59055118110236227" bottom="0.59055118110236227" header="0.51181102362204722" footer="0.51181102362204722"/>
  <pageSetup paperSize="9" scale="58" fitToHeight="0" orientation="landscape" r:id="rId1"/>
  <headerFooter alignWithMargins="0"/>
  <rowBreaks count="2" manualBreakCount="2">
    <brk id="114" max="16383" man="1"/>
    <brk id="1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workbookViewId="0">
      <pane ySplit="10" topLeftCell="A11" activePane="bottomLeft" state="frozenSplit"/>
      <selection pane="bottomLeft" activeCell="A2" sqref="A2:A3"/>
    </sheetView>
  </sheetViews>
  <sheetFormatPr defaultColWidth="11.5703125" defaultRowHeight="12.75"/>
  <cols>
    <col min="1" max="2" width="16.5703125" customWidth="1"/>
    <col min="3" max="3" width="41.7109375" customWidth="1"/>
    <col min="4" max="4" width="22.140625" customWidth="1"/>
    <col min="5" max="5" width="21" customWidth="1"/>
    <col min="6" max="6" width="20.85546875" customWidth="1"/>
    <col min="7" max="7" width="19.7109375" customWidth="1"/>
    <col min="8" max="9" width="0" hidden="1" customWidth="1"/>
  </cols>
  <sheetData>
    <row r="1" spans="1:9" ht="72.95" customHeight="1">
      <c r="A1" s="85" t="s">
        <v>536</v>
      </c>
      <c r="B1" s="86"/>
      <c r="C1" s="86"/>
      <c r="D1" s="86"/>
      <c r="E1" s="86"/>
      <c r="F1" s="86"/>
      <c r="G1" s="86"/>
    </row>
    <row r="2" spans="1:9">
      <c r="A2" s="87" t="s">
        <v>0</v>
      </c>
      <c r="B2" s="89" t="str">
        <f>'Soupis prací'!D2</f>
        <v>NEMOCNICE PÍSEK  a.s., SOC. ZÁZEMÍ CHIR. ODDĚLENÍ I. ETAPA, REKONSTRUKCE ČÁSTI 2.NP BUDOVY L-</v>
      </c>
      <c r="C2" s="75"/>
      <c r="D2" s="92" t="s">
        <v>448</v>
      </c>
      <c r="E2" s="92" t="str">
        <f>'Soupis prací'!I2</f>
        <v> </v>
      </c>
      <c r="F2" s="88"/>
      <c r="G2" s="93"/>
      <c r="H2" s="29"/>
    </row>
    <row r="3" spans="1:9">
      <c r="A3" s="84"/>
      <c r="B3" s="90"/>
      <c r="C3" s="90"/>
      <c r="D3" s="77"/>
      <c r="E3" s="77"/>
      <c r="F3" s="77"/>
      <c r="G3" s="82"/>
      <c r="H3" s="29"/>
    </row>
    <row r="4" spans="1:9">
      <c r="A4" s="78" t="s">
        <v>1</v>
      </c>
      <c r="B4" s="76" t="str">
        <f>'Soupis prací'!D4</f>
        <v>D.1.01.4a - ZDRAVOTNĚ TECHNICKÉ INSTALACE</v>
      </c>
      <c r="C4" s="77"/>
      <c r="D4" s="76" t="s">
        <v>449</v>
      </c>
      <c r="E4" s="76" t="str">
        <f>'Soupis prací'!I4</f>
        <v> </v>
      </c>
      <c r="F4" s="77"/>
      <c r="G4" s="82"/>
      <c r="H4" s="29"/>
    </row>
    <row r="5" spans="1:9">
      <c r="A5" s="84"/>
      <c r="B5" s="77"/>
      <c r="C5" s="77"/>
      <c r="D5" s="77"/>
      <c r="E5" s="77"/>
      <c r="F5" s="77"/>
      <c r="G5" s="82"/>
      <c r="H5" s="29"/>
    </row>
    <row r="6" spans="1:9">
      <c r="A6" s="78" t="s">
        <v>2</v>
      </c>
      <c r="B6" s="76" t="str">
        <f>'Soupis prací'!D6</f>
        <v>PÍSEK</v>
      </c>
      <c r="C6" s="77"/>
      <c r="D6" s="76" t="s">
        <v>450</v>
      </c>
      <c r="E6" s="76" t="str">
        <f>'Soupis prací'!I6</f>
        <v> </v>
      </c>
      <c r="F6" s="77"/>
      <c r="G6" s="82"/>
      <c r="H6" s="29"/>
    </row>
    <row r="7" spans="1:9">
      <c r="A7" s="84"/>
      <c r="B7" s="77"/>
      <c r="C7" s="77"/>
      <c r="D7" s="77"/>
      <c r="E7" s="77"/>
      <c r="F7" s="77"/>
      <c r="G7" s="82"/>
      <c r="H7" s="29"/>
    </row>
    <row r="8" spans="1:9">
      <c r="A8" s="78" t="s">
        <v>451</v>
      </c>
      <c r="B8" s="76" t="str">
        <f>'Soupis prací'!I8</f>
        <v> </v>
      </c>
      <c r="C8" s="77"/>
      <c r="D8" s="81" t="s">
        <v>433</v>
      </c>
      <c r="E8" s="76">
        <f>'Soupis prací'!G8</f>
        <v>0</v>
      </c>
      <c r="F8" s="77"/>
      <c r="G8" s="82"/>
      <c r="H8" s="29"/>
    </row>
    <row r="9" spans="1:9">
      <c r="A9" s="79"/>
      <c r="B9" s="80"/>
      <c r="C9" s="80"/>
      <c r="D9" s="80"/>
      <c r="E9" s="80"/>
      <c r="F9" s="80"/>
      <c r="G9" s="83"/>
      <c r="H9" s="29"/>
    </row>
    <row r="10" spans="1:9">
      <c r="A10" s="36" t="s">
        <v>109</v>
      </c>
      <c r="B10" s="38" t="s">
        <v>110</v>
      </c>
      <c r="C10" s="39" t="s">
        <v>486</v>
      </c>
      <c r="D10" s="40" t="s">
        <v>487</v>
      </c>
      <c r="E10" s="40" t="s">
        <v>488</v>
      </c>
      <c r="F10" s="40" t="s">
        <v>489</v>
      </c>
      <c r="G10" s="42" t="s">
        <v>490</v>
      </c>
      <c r="H10" s="30"/>
    </row>
    <row r="11" spans="1:9">
      <c r="A11" s="37"/>
      <c r="B11" s="37" t="s">
        <v>111</v>
      </c>
      <c r="C11" s="37" t="s">
        <v>223</v>
      </c>
      <c r="D11" s="43">
        <f>'Soupis prací'!H12</f>
        <v>0</v>
      </c>
      <c r="E11" s="43">
        <f>'Soupis prací'!I12</f>
        <v>0</v>
      </c>
      <c r="F11" s="43">
        <f>'Soupis prací'!J12</f>
        <v>0</v>
      </c>
      <c r="G11" s="43">
        <f>'Soupis prací'!L12</f>
        <v>7.1687900000000013</v>
      </c>
      <c r="H11" s="31" t="s">
        <v>491</v>
      </c>
      <c r="I11" s="31">
        <f t="shared" ref="I11:I17" si="0">IF(H11="F",0,F11)</f>
        <v>0</v>
      </c>
    </row>
    <row r="12" spans="1:9">
      <c r="A12" s="15"/>
      <c r="B12" s="15" t="s">
        <v>144</v>
      </c>
      <c r="C12" s="15" t="s">
        <v>285</v>
      </c>
      <c r="D12" s="31">
        <f>'Soupis prací'!H81</f>
        <v>0</v>
      </c>
      <c r="E12" s="31">
        <f>'Soupis prací'!I81</f>
        <v>0</v>
      </c>
      <c r="F12" s="31">
        <f>'Soupis prací'!J81</f>
        <v>0</v>
      </c>
      <c r="G12" s="31">
        <f>'Soupis prací'!L81</f>
        <v>9.9352999999999998</v>
      </c>
      <c r="H12" s="31" t="s">
        <v>491</v>
      </c>
      <c r="I12" s="31">
        <f t="shared" si="0"/>
        <v>0</v>
      </c>
    </row>
    <row r="13" spans="1:9">
      <c r="A13" s="15"/>
      <c r="B13" s="15" t="s">
        <v>182</v>
      </c>
      <c r="C13" s="15" t="s">
        <v>359</v>
      </c>
      <c r="D13" s="31">
        <f>'Soupis prací'!H168</f>
        <v>0</v>
      </c>
      <c r="E13" s="31">
        <f>'Soupis prací'!I168</f>
        <v>0</v>
      </c>
      <c r="F13" s="31">
        <f>'Soupis prací'!J168</f>
        <v>0</v>
      </c>
      <c r="G13" s="31">
        <f>'Soupis prací'!L168</f>
        <v>8.4535900000000002</v>
      </c>
      <c r="H13" s="31" t="s">
        <v>491</v>
      </c>
      <c r="I13" s="31">
        <f t="shared" si="0"/>
        <v>0</v>
      </c>
    </row>
    <row r="14" spans="1:9">
      <c r="A14" s="15"/>
      <c r="B14" s="15" t="s">
        <v>201</v>
      </c>
      <c r="C14" s="15" t="s">
        <v>395</v>
      </c>
      <c r="D14" s="31">
        <f>'Soupis prací'!H209</f>
        <v>0</v>
      </c>
      <c r="E14" s="31">
        <f>'Soupis prací'!I209</f>
        <v>0</v>
      </c>
      <c r="F14" s="31">
        <f>'Soupis prací'!J209</f>
        <v>0</v>
      </c>
      <c r="G14" s="31">
        <f>'Soupis prací'!L209</f>
        <v>5.5800000000000002E-2</v>
      </c>
      <c r="H14" s="31" t="s">
        <v>491</v>
      </c>
      <c r="I14" s="31">
        <f t="shared" si="0"/>
        <v>0</v>
      </c>
    </row>
    <row r="15" spans="1:9">
      <c r="A15" s="15"/>
      <c r="B15" s="15" t="s">
        <v>99</v>
      </c>
      <c r="C15" s="15" t="s">
        <v>400</v>
      </c>
      <c r="D15" s="31">
        <f>'Soupis prací'!H216</f>
        <v>0</v>
      </c>
      <c r="E15" s="31">
        <f>'Soupis prací'!I216</f>
        <v>0</v>
      </c>
      <c r="F15" s="31">
        <f>'Soupis prací'!J216</f>
        <v>0</v>
      </c>
      <c r="G15" s="31">
        <f>'Soupis prací'!L216</f>
        <v>0</v>
      </c>
      <c r="H15" s="31" t="s">
        <v>491</v>
      </c>
      <c r="I15" s="31">
        <f t="shared" si="0"/>
        <v>0</v>
      </c>
    </row>
    <row r="16" spans="1:9">
      <c r="A16" s="15"/>
      <c r="B16" s="15" t="s">
        <v>102</v>
      </c>
      <c r="C16" s="15" t="s">
        <v>408</v>
      </c>
      <c r="D16" s="31">
        <f>'Soupis prací'!H224</f>
        <v>0</v>
      </c>
      <c r="E16" s="31">
        <f>'Soupis prací'!I224</f>
        <v>0</v>
      </c>
      <c r="F16" s="31">
        <f>'Soupis prací'!J224</f>
        <v>0</v>
      </c>
      <c r="G16" s="31">
        <f>'Soupis prací'!L224</f>
        <v>3.1100050000000001</v>
      </c>
      <c r="H16" s="31" t="s">
        <v>491</v>
      </c>
      <c r="I16" s="31">
        <f t="shared" si="0"/>
        <v>0</v>
      </c>
    </row>
    <row r="17" spans="1:9">
      <c r="A17" s="15"/>
      <c r="B17" s="15" t="s">
        <v>211</v>
      </c>
      <c r="C17" s="15" t="s">
        <v>418</v>
      </c>
      <c r="D17" s="31">
        <f>'Soupis prací'!H235</f>
        <v>0</v>
      </c>
      <c r="E17" s="31">
        <f>'Soupis prací'!I235</f>
        <v>0</v>
      </c>
      <c r="F17" s="31">
        <f>'Soupis prací'!J235</f>
        <v>0</v>
      </c>
      <c r="G17" s="31">
        <f>'Soupis prací'!L235</f>
        <v>0</v>
      </c>
      <c r="H17" s="31" t="s">
        <v>491</v>
      </c>
      <c r="I17" s="31">
        <f t="shared" si="0"/>
        <v>0</v>
      </c>
    </row>
    <row r="19" spans="1:9">
      <c r="E19" s="41" t="s">
        <v>454</v>
      </c>
      <c r="F19" s="44">
        <f>ROUND(SUM(I11:I17),0)</f>
        <v>0</v>
      </c>
    </row>
  </sheetData>
  <mergeCells count="17">
    <mergeCell ref="A1:G1"/>
    <mergeCell ref="A2:A3"/>
    <mergeCell ref="B2:C3"/>
    <mergeCell ref="D2:D3"/>
    <mergeCell ref="E2:G3"/>
    <mergeCell ref="A4:A5"/>
    <mergeCell ref="B4:C5"/>
    <mergeCell ref="D4:D5"/>
    <mergeCell ref="E4:G5"/>
    <mergeCell ref="A6:A7"/>
    <mergeCell ref="B6:C7"/>
    <mergeCell ref="D6:D7"/>
    <mergeCell ref="E6:G7"/>
    <mergeCell ref="A8:A9"/>
    <mergeCell ref="B8:C9"/>
    <mergeCell ref="D8:D9"/>
    <mergeCell ref="E8:G9"/>
  </mergeCells>
  <printOptions gridLines="1"/>
  <pageMargins left="0.39370078740157483" right="0.39370078740157483" top="0.59055118110236227" bottom="0.59055118110236227" header="0.51181102362204722" footer="0.51181102362204722"/>
  <pageSetup paperSize="9" scale="8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selection activeCell="C2" sqref="C2:D3"/>
    </sheetView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0"/>
      <c r="B1" s="6"/>
      <c r="C1" s="118" t="s">
        <v>535</v>
      </c>
      <c r="D1" s="86"/>
      <c r="E1" s="86"/>
      <c r="F1" s="86"/>
      <c r="G1" s="86"/>
      <c r="H1" s="86"/>
      <c r="I1" s="86"/>
    </row>
    <row r="2" spans="1:10">
      <c r="A2" s="87" t="s">
        <v>0</v>
      </c>
      <c r="B2" s="88"/>
      <c r="C2" s="89" t="str">
        <f>'Soupis prací'!D2</f>
        <v>NEMOCNICE PÍSEK  a.s., SOC. ZÁZEMÍ CHIR. ODDĚLENÍ I. ETAPA, REKONSTRUKCE ČÁSTI 2.NP BUDOVY L-</v>
      </c>
      <c r="D2" s="75"/>
      <c r="E2" s="92" t="s">
        <v>448</v>
      </c>
      <c r="F2" s="92" t="str">
        <f>'Soupis prací'!I2</f>
        <v> </v>
      </c>
      <c r="G2" s="88"/>
      <c r="H2" s="92" t="s">
        <v>531</v>
      </c>
      <c r="I2" s="119"/>
      <c r="J2" s="29"/>
    </row>
    <row r="3" spans="1:10" ht="38.450000000000003" customHeight="1">
      <c r="A3" s="84"/>
      <c r="B3" s="77"/>
      <c r="C3" s="90"/>
      <c r="D3" s="90"/>
      <c r="E3" s="77"/>
      <c r="F3" s="77"/>
      <c r="G3" s="77"/>
      <c r="H3" s="77"/>
      <c r="I3" s="82"/>
      <c r="J3" s="29"/>
    </row>
    <row r="4" spans="1:10">
      <c r="A4" s="78" t="s">
        <v>1</v>
      </c>
      <c r="B4" s="77"/>
      <c r="C4" s="76" t="str">
        <f>'Soupis prací'!D4</f>
        <v>D.1.01.4a - ZDRAVOTNĚ TECHNICKÉ INSTALACE</v>
      </c>
      <c r="D4" s="77"/>
      <c r="E4" s="76" t="s">
        <v>449</v>
      </c>
      <c r="F4" s="76" t="str">
        <f>'Soupis prací'!I4</f>
        <v> </v>
      </c>
      <c r="G4" s="77"/>
      <c r="H4" s="76" t="s">
        <v>531</v>
      </c>
      <c r="I4" s="117"/>
      <c r="J4" s="29"/>
    </row>
    <row r="5" spans="1:10">
      <c r="A5" s="84"/>
      <c r="B5" s="77"/>
      <c r="C5" s="77"/>
      <c r="D5" s="77"/>
      <c r="E5" s="77"/>
      <c r="F5" s="77"/>
      <c r="G5" s="77"/>
      <c r="H5" s="77"/>
      <c r="I5" s="82"/>
      <c r="J5" s="29"/>
    </row>
    <row r="6" spans="1:10">
      <c r="A6" s="78" t="s">
        <v>2</v>
      </c>
      <c r="B6" s="77"/>
      <c r="C6" s="76" t="str">
        <f>'Soupis prací'!D6</f>
        <v>PÍSEK</v>
      </c>
      <c r="D6" s="77"/>
      <c r="E6" s="76" t="s">
        <v>450</v>
      </c>
      <c r="F6" s="76" t="str">
        <f>'Soupis prací'!I6</f>
        <v> </v>
      </c>
      <c r="G6" s="77"/>
      <c r="H6" s="76" t="s">
        <v>531</v>
      </c>
      <c r="I6" s="117"/>
      <c r="J6" s="29"/>
    </row>
    <row r="7" spans="1:10">
      <c r="A7" s="84"/>
      <c r="B7" s="77"/>
      <c r="C7" s="77"/>
      <c r="D7" s="77"/>
      <c r="E7" s="77"/>
      <c r="F7" s="77"/>
      <c r="G7" s="77"/>
      <c r="H7" s="77"/>
      <c r="I7" s="82"/>
      <c r="J7" s="29"/>
    </row>
    <row r="8" spans="1:10">
      <c r="A8" s="78" t="s">
        <v>431</v>
      </c>
      <c r="B8" s="77"/>
      <c r="C8" s="76">
        <f>'Soupis prací'!G4</f>
        <v>0</v>
      </c>
      <c r="D8" s="77"/>
      <c r="E8" s="76" t="s">
        <v>432</v>
      </c>
      <c r="F8" s="76" t="str">
        <f>'Soupis prací'!G6</f>
        <v xml:space="preserve"> </v>
      </c>
      <c r="G8" s="77"/>
      <c r="H8" s="81" t="s">
        <v>532</v>
      </c>
      <c r="I8" s="117" t="s">
        <v>107</v>
      </c>
      <c r="J8" s="29"/>
    </row>
    <row r="9" spans="1:10">
      <c r="A9" s="84"/>
      <c r="B9" s="77"/>
      <c r="C9" s="77"/>
      <c r="D9" s="77"/>
      <c r="E9" s="77"/>
      <c r="F9" s="77"/>
      <c r="G9" s="77"/>
      <c r="H9" s="77"/>
      <c r="I9" s="82"/>
      <c r="J9" s="29"/>
    </row>
    <row r="10" spans="1:10">
      <c r="A10" s="78" t="s">
        <v>3</v>
      </c>
      <c r="B10" s="77"/>
      <c r="C10" s="76" t="str">
        <f>'Soupis prací'!D8</f>
        <v xml:space="preserve"> </v>
      </c>
      <c r="D10" s="77"/>
      <c r="E10" s="76" t="s">
        <v>451</v>
      </c>
      <c r="F10" s="76" t="str">
        <f>'Soupis prací'!I8</f>
        <v> </v>
      </c>
      <c r="G10" s="77"/>
      <c r="H10" s="81" t="s">
        <v>533</v>
      </c>
      <c r="I10" s="115">
        <f>'Soupis prací'!G8</f>
        <v>0</v>
      </c>
      <c r="J10" s="29"/>
    </row>
    <row r="11" spans="1:10">
      <c r="A11" s="113"/>
      <c r="B11" s="114"/>
      <c r="C11" s="114"/>
      <c r="D11" s="114"/>
      <c r="E11" s="114"/>
      <c r="F11" s="114"/>
      <c r="G11" s="114"/>
      <c r="H11" s="114"/>
      <c r="I11" s="116"/>
      <c r="J11" s="29"/>
    </row>
    <row r="12" spans="1:10" ht="23.45" customHeight="1">
      <c r="A12" s="109" t="s">
        <v>492</v>
      </c>
      <c r="B12" s="110"/>
      <c r="C12" s="110"/>
      <c r="D12" s="110"/>
      <c r="E12" s="110"/>
      <c r="F12" s="110"/>
      <c r="G12" s="110"/>
      <c r="H12" s="110"/>
      <c r="I12" s="110"/>
    </row>
    <row r="13" spans="1:10" ht="26.45" customHeight="1">
      <c r="A13" s="45" t="s">
        <v>493</v>
      </c>
      <c r="B13" s="111" t="s">
        <v>505</v>
      </c>
      <c r="C13" s="112"/>
      <c r="D13" s="45" t="s">
        <v>507</v>
      </c>
      <c r="E13" s="111" t="s">
        <v>516</v>
      </c>
      <c r="F13" s="112"/>
      <c r="G13" s="45" t="s">
        <v>517</v>
      </c>
      <c r="H13" s="111" t="s">
        <v>534</v>
      </c>
      <c r="I13" s="112"/>
      <c r="J13" s="29"/>
    </row>
    <row r="14" spans="1:10" ht="15.2" customHeight="1">
      <c r="A14" s="46" t="s">
        <v>494</v>
      </c>
      <c r="B14" s="50" t="s">
        <v>506</v>
      </c>
      <c r="C14" s="54">
        <f>SUM('Soupis prací'!AB12:AB247)</f>
        <v>0</v>
      </c>
      <c r="D14" s="107" t="s">
        <v>508</v>
      </c>
      <c r="E14" s="108"/>
      <c r="F14" s="54">
        <v>0</v>
      </c>
      <c r="G14" s="107" t="s">
        <v>518</v>
      </c>
      <c r="H14" s="108"/>
      <c r="I14" s="54">
        <v>0</v>
      </c>
      <c r="J14" s="29"/>
    </row>
    <row r="15" spans="1:10" ht="15.2" customHeight="1">
      <c r="A15" s="47"/>
      <c r="B15" s="50" t="s">
        <v>456</v>
      </c>
      <c r="C15" s="54">
        <f>SUM('Soupis prací'!AC12:AC247)</f>
        <v>0</v>
      </c>
      <c r="D15" s="107" t="s">
        <v>509</v>
      </c>
      <c r="E15" s="108"/>
      <c r="F15" s="54">
        <v>0</v>
      </c>
      <c r="G15" s="107" t="s">
        <v>519</v>
      </c>
      <c r="H15" s="108"/>
      <c r="I15" s="54">
        <v>0</v>
      </c>
      <c r="J15" s="29"/>
    </row>
    <row r="16" spans="1:10" ht="15.2" customHeight="1">
      <c r="A16" s="46" t="s">
        <v>495</v>
      </c>
      <c r="B16" s="50" t="s">
        <v>506</v>
      </c>
      <c r="C16" s="54">
        <f>SUM('Soupis prací'!AD12:AD247)</f>
        <v>0</v>
      </c>
      <c r="D16" s="107" t="s">
        <v>510</v>
      </c>
      <c r="E16" s="108"/>
      <c r="F16" s="54">
        <v>0</v>
      </c>
      <c r="G16" s="107" t="s">
        <v>520</v>
      </c>
      <c r="H16" s="108"/>
      <c r="I16" s="54">
        <v>0</v>
      </c>
      <c r="J16" s="29"/>
    </row>
    <row r="17" spans="1:10" ht="15.2" customHeight="1">
      <c r="A17" s="47"/>
      <c r="B17" s="50" t="s">
        <v>456</v>
      </c>
      <c r="C17" s="54">
        <f>SUM('Soupis prací'!AE12:AE247)</f>
        <v>0</v>
      </c>
      <c r="D17" s="107"/>
      <c r="E17" s="108"/>
      <c r="F17" s="55"/>
      <c r="G17" s="107" t="s">
        <v>521</v>
      </c>
      <c r="H17" s="108"/>
      <c r="I17" s="54">
        <v>0</v>
      </c>
      <c r="J17" s="29"/>
    </row>
    <row r="18" spans="1:10" ht="15.2" customHeight="1">
      <c r="A18" s="46" t="s">
        <v>496</v>
      </c>
      <c r="B18" s="50" t="s">
        <v>506</v>
      </c>
      <c r="C18" s="54">
        <f>SUM('Soupis prací'!AF12:AF247)</f>
        <v>0</v>
      </c>
      <c r="D18" s="107"/>
      <c r="E18" s="108"/>
      <c r="F18" s="55"/>
      <c r="G18" s="107" t="s">
        <v>522</v>
      </c>
      <c r="H18" s="108"/>
      <c r="I18" s="54">
        <v>0</v>
      </c>
      <c r="J18" s="29"/>
    </row>
    <row r="19" spans="1:10" ht="15.2" customHeight="1">
      <c r="A19" s="47"/>
      <c r="B19" s="50" t="s">
        <v>456</v>
      </c>
      <c r="C19" s="54">
        <f>SUM('Soupis prací'!AG12:AG247)</f>
        <v>0</v>
      </c>
      <c r="D19" s="107"/>
      <c r="E19" s="108"/>
      <c r="F19" s="55"/>
      <c r="G19" s="107" t="s">
        <v>523</v>
      </c>
      <c r="H19" s="108"/>
      <c r="I19" s="54">
        <v>0</v>
      </c>
      <c r="J19" s="29"/>
    </row>
    <row r="20" spans="1:10" ht="15.2" customHeight="1">
      <c r="A20" s="105" t="s">
        <v>497</v>
      </c>
      <c r="B20" s="106"/>
      <c r="C20" s="54">
        <f>SUM('Soupis prací'!AH12:AH247)</f>
        <v>0</v>
      </c>
      <c r="D20" s="107"/>
      <c r="E20" s="108"/>
      <c r="F20" s="55"/>
      <c r="G20" s="107"/>
      <c r="H20" s="108"/>
      <c r="I20" s="55"/>
      <c r="J20" s="29"/>
    </row>
    <row r="21" spans="1:10" ht="15.2" customHeight="1">
      <c r="A21" s="105" t="s">
        <v>498</v>
      </c>
      <c r="B21" s="106"/>
      <c r="C21" s="54">
        <f>SUM('Soupis prací'!Z12:Z247)</f>
        <v>0</v>
      </c>
      <c r="D21" s="107"/>
      <c r="E21" s="108"/>
      <c r="F21" s="55"/>
      <c r="G21" s="107"/>
      <c r="H21" s="108"/>
      <c r="I21" s="55"/>
      <c r="J21" s="29"/>
    </row>
    <row r="22" spans="1:10" ht="16.7" customHeight="1">
      <c r="A22" s="105" t="s">
        <v>499</v>
      </c>
      <c r="B22" s="106"/>
      <c r="C22" s="54">
        <f>ROUND(SUM(C14:C21),0)</f>
        <v>0</v>
      </c>
      <c r="D22" s="105" t="s">
        <v>511</v>
      </c>
      <c r="E22" s="106"/>
      <c r="F22" s="54">
        <f>SUM(F14:F21)</f>
        <v>0</v>
      </c>
      <c r="G22" s="105" t="s">
        <v>524</v>
      </c>
      <c r="H22" s="106"/>
      <c r="I22" s="54">
        <f>SUM(I14:I21)</f>
        <v>0</v>
      </c>
      <c r="J22" s="29"/>
    </row>
    <row r="23" spans="1:10" ht="15.2" customHeight="1">
      <c r="A23" s="7"/>
      <c r="B23" s="7"/>
      <c r="C23" s="52"/>
      <c r="D23" s="105" t="s">
        <v>512</v>
      </c>
      <c r="E23" s="106"/>
      <c r="F23" s="56">
        <v>0</v>
      </c>
      <c r="G23" s="105" t="s">
        <v>525</v>
      </c>
      <c r="H23" s="106"/>
      <c r="I23" s="54">
        <v>0</v>
      </c>
      <c r="J23" s="29"/>
    </row>
    <row r="24" spans="1:10" ht="15.2" customHeight="1">
      <c r="D24" s="7"/>
      <c r="E24" s="7"/>
      <c r="F24" s="57"/>
      <c r="G24" s="105" t="s">
        <v>526</v>
      </c>
      <c r="H24" s="106"/>
      <c r="I24" s="54">
        <v>0</v>
      </c>
      <c r="J24" s="29"/>
    </row>
    <row r="25" spans="1:10" ht="15.2" customHeight="1">
      <c r="F25" s="58"/>
      <c r="G25" s="105" t="s">
        <v>527</v>
      </c>
      <c r="H25" s="106"/>
      <c r="I25" s="54">
        <v>0</v>
      </c>
      <c r="J25" s="29"/>
    </row>
    <row r="26" spans="1:10">
      <c r="A26" s="6"/>
      <c r="B26" s="6"/>
      <c r="C26" s="6"/>
      <c r="G26" s="7"/>
      <c r="H26" s="7"/>
      <c r="I26" s="7"/>
    </row>
    <row r="27" spans="1:10" ht="15.2" customHeight="1">
      <c r="A27" s="100" t="s">
        <v>500</v>
      </c>
      <c r="B27" s="101"/>
      <c r="C27" s="59">
        <f>ROUND(SUM('Soupis prací'!AJ12:AJ247),0)</f>
        <v>0</v>
      </c>
      <c r="D27" s="53"/>
      <c r="E27" s="6"/>
      <c r="F27" s="6"/>
      <c r="G27" s="6"/>
      <c r="H27" s="6"/>
      <c r="I27" s="6"/>
    </row>
    <row r="28" spans="1:10" ht="15.2" customHeight="1">
      <c r="A28" s="100" t="s">
        <v>501</v>
      </c>
      <c r="B28" s="101"/>
      <c r="C28" s="59">
        <f>ROUND(SUM('Soupis prací'!AK12:AK247),0)</f>
        <v>0</v>
      </c>
      <c r="D28" s="100" t="s">
        <v>513</v>
      </c>
      <c r="E28" s="101"/>
      <c r="F28" s="59">
        <f>ROUND(C28*(15/100),2)</f>
        <v>0</v>
      </c>
      <c r="G28" s="100" t="s">
        <v>528</v>
      </c>
      <c r="H28" s="101"/>
      <c r="I28" s="59">
        <f>ROUND(SUM(C27:C29),0)</f>
        <v>0</v>
      </c>
      <c r="J28" s="29"/>
    </row>
    <row r="29" spans="1:10" ht="15.2" customHeight="1">
      <c r="A29" s="100" t="s">
        <v>502</v>
      </c>
      <c r="B29" s="101"/>
      <c r="C29" s="59">
        <f>ROUND(SUM('Soupis prací'!AL12:AL247)+(F22+I22+F23+I23+I24+I25),0)</f>
        <v>0</v>
      </c>
      <c r="D29" s="100" t="s">
        <v>514</v>
      </c>
      <c r="E29" s="101"/>
      <c r="F29" s="59">
        <f>ROUND(C29*(21/100),2)</f>
        <v>0</v>
      </c>
      <c r="G29" s="100" t="s">
        <v>529</v>
      </c>
      <c r="H29" s="101"/>
      <c r="I29" s="59">
        <f>ROUND(SUM(F28:F29)+I28,0)</f>
        <v>0</v>
      </c>
      <c r="J29" s="29"/>
    </row>
    <row r="30" spans="1:10">
      <c r="A30" s="48"/>
      <c r="B30" s="48"/>
      <c r="C30" s="48"/>
      <c r="D30" s="48"/>
      <c r="E30" s="48"/>
      <c r="F30" s="48"/>
      <c r="G30" s="48"/>
      <c r="H30" s="48"/>
      <c r="I30" s="48"/>
    </row>
    <row r="31" spans="1:10" ht="14.45" customHeight="1">
      <c r="A31" s="102" t="s">
        <v>503</v>
      </c>
      <c r="B31" s="103"/>
      <c r="C31" s="104"/>
      <c r="D31" s="102" t="s">
        <v>515</v>
      </c>
      <c r="E31" s="103"/>
      <c r="F31" s="104"/>
      <c r="G31" s="102" t="s">
        <v>530</v>
      </c>
      <c r="H31" s="103"/>
      <c r="I31" s="104"/>
      <c r="J31" s="30"/>
    </row>
    <row r="32" spans="1:10" ht="14.45" customHeight="1">
      <c r="A32" s="94"/>
      <c r="B32" s="95"/>
      <c r="C32" s="96"/>
      <c r="D32" s="94"/>
      <c r="E32" s="95"/>
      <c r="F32" s="96"/>
      <c r="G32" s="94"/>
      <c r="H32" s="95"/>
      <c r="I32" s="96"/>
      <c r="J32" s="30"/>
    </row>
    <row r="33" spans="1:10" ht="14.45" customHeight="1">
      <c r="A33" s="94"/>
      <c r="B33" s="95"/>
      <c r="C33" s="96"/>
      <c r="D33" s="94"/>
      <c r="E33" s="95"/>
      <c r="F33" s="96"/>
      <c r="G33" s="94"/>
      <c r="H33" s="95"/>
      <c r="I33" s="96"/>
      <c r="J33" s="30"/>
    </row>
    <row r="34" spans="1:10" ht="14.45" customHeight="1">
      <c r="A34" s="94"/>
      <c r="B34" s="95"/>
      <c r="C34" s="96"/>
      <c r="D34" s="94"/>
      <c r="E34" s="95"/>
      <c r="F34" s="96"/>
      <c r="G34" s="94"/>
      <c r="H34" s="95"/>
      <c r="I34" s="96"/>
      <c r="J34" s="30"/>
    </row>
    <row r="35" spans="1:10" ht="14.45" customHeight="1">
      <c r="A35" s="97" t="s">
        <v>504</v>
      </c>
      <c r="B35" s="98"/>
      <c r="C35" s="99"/>
      <c r="D35" s="97" t="s">
        <v>504</v>
      </c>
      <c r="E35" s="98"/>
      <c r="F35" s="99"/>
      <c r="G35" s="97" t="s">
        <v>504</v>
      </c>
      <c r="H35" s="98"/>
      <c r="I35" s="99"/>
      <c r="J35" s="30"/>
    </row>
    <row r="36" spans="1:10" ht="11.25" customHeight="1">
      <c r="A36" s="49" t="s">
        <v>108</v>
      </c>
      <c r="B36" s="51"/>
      <c r="C36" s="51"/>
      <c r="D36" s="51"/>
      <c r="E36" s="51"/>
      <c r="F36" s="51"/>
      <c r="G36" s="51"/>
      <c r="H36" s="51"/>
      <c r="I36" s="51"/>
    </row>
    <row r="37" spans="1:10">
      <c r="A37" s="76"/>
      <c r="B37" s="77"/>
      <c r="C37" s="77"/>
      <c r="D37" s="77"/>
      <c r="E37" s="77"/>
      <c r="F37" s="77"/>
      <c r="G37" s="77"/>
      <c r="H37" s="77"/>
      <c r="I37" s="77"/>
    </row>
  </sheetData>
  <mergeCells count="83">
    <mergeCell ref="C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Soupis prací</vt:lpstr>
      <vt:lpstr>rekapitulace</vt:lpstr>
      <vt:lpstr>Krycí list </vt:lpstr>
      <vt:lpstr>'Soupis prací'!Názvy_tisku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PC20</dc:creator>
  <cp:lastModifiedBy>Petr Tomický</cp:lastModifiedBy>
  <cp:lastPrinted>2020-03-18T15:08:26Z</cp:lastPrinted>
  <dcterms:created xsi:type="dcterms:W3CDTF">2020-03-18T15:01:02Z</dcterms:created>
  <dcterms:modified xsi:type="dcterms:W3CDTF">2020-04-06T16:15:11Z</dcterms:modified>
</cp:coreProperties>
</file>